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G:\我的雲端硬碟\媒體圖書館\前台選單目錄\檔案庫\3-檔案專區\泵浦閥產業\文件別\技術文件\離心泵技術\"/>
    </mc:Choice>
  </mc:AlternateContent>
  <xr:revisionPtr revIDLastSave="0" documentId="8_{A9A96069-2834-4988-AAEC-694A7B1863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原始數據 汰換前" sheetId="4" r:id="rId1"/>
    <sheet name="C值迴歸&amp;汰換後數據" sheetId="7" r:id="rId2"/>
    <sheet name="一般迴歸方程式計算耗電比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7" l="1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3" i="7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3" i="4"/>
  <c r="R5" i="5" l="1"/>
  <c r="R6" i="5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4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4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C4" i="5"/>
  <c r="C5" i="5"/>
  <c r="C6" i="5"/>
  <c r="H6" i="5" s="1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H19" i="5" s="1"/>
  <c r="C20" i="5"/>
  <c r="C21" i="5"/>
  <c r="C22" i="5"/>
  <c r="C23" i="5"/>
  <c r="C24" i="5"/>
  <c r="C25" i="5"/>
  <c r="C26" i="5"/>
  <c r="C27" i="5"/>
  <c r="C28" i="5"/>
  <c r="K3" i="4"/>
  <c r="L3" i="4" s="1"/>
  <c r="L27" i="7"/>
  <c r="J27" i="7"/>
  <c r="K27" i="7" s="1"/>
  <c r="L26" i="7"/>
  <c r="J26" i="7"/>
  <c r="K26" i="7" s="1"/>
  <c r="L25" i="7"/>
  <c r="J25" i="7"/>
  <c r="K25" i="7" s="1"/>
  <c r="L24" i="7"/>
  <c r="J24" i="7"/>
  <c r="K24" i="7" s="1"/>
  <c r="L23" i="7"/>
  <c r="J23" i="7"/>
  <c r="K23" i="7" s="1"/>
  <c r="L22" i="7"/>
  <c r="J22" i="7"/>
  <c r="K22" i="7" s="1"/>
  <c r="L21" i="7"/>
  <c r="J21" i="7"/>
  <c r="K21" i="7" s="1"/>
  <c r="L20" i="7"/>
  <c r="J20" i="7"/>
  <c r="K20" i="7" s="1"/>
  <c r="L19" i="7"/>
  <c r="J19" i="7"/>
  <c r="K19" i="7" s="1"/>
  <c r="L18" i="7"/>
  <c r="J18" i="7"/>
  <c r="K18" i="7" s="1"/>
  <c r="L17" i="7"/>
  <c r="J17" i="7"/>
  <c r="K17" i="7" s="1"/>
  <c r="L16" i="7"/>
  <c r="J16" i="7"/>
  <c r="K16" i="7" s="1"/>
  <c r="L15" i="7"/>
  <c r="J15" i="7"/>
  <c r="K15" i="7" s="1"/>
  <c r="L14" i="7"/>
  <c r="J14" i="7"/>
  <c r="K14" i="7" s="1"/>
  <c r="L13" i="7"/>
  <c r="J13" i="7"/>
  <c r="K13" i="7" s="1"/>
  <c r="L12" i="7"/>
  <c r="J12" i="7"/>
  <c r="K12" i="7" s="1"/>
  <c r="L11" i="7"/>
  <c r="J11" i="7"/>
  <c r="K11" i="7" s="1"/>
  <c r="L10" i="7"/>
  <c r="J10" i="7"/>
  <c r="K10" i="7" s="1"/>
  <c r="L9" i="7"/>
  <c r="J9" i="7"/>
  <c r="K9" i="7" s="1"/>
  <c r="L8" i="7"/>
  <c r="J8" i="7"/>
  <c r="K8" i="7" s="1"/>
  <c r="L7" i="7"/>
  <c r="J7" i="7"/>
  <c r="K7" i="7" s="1"/>
  <c r="L6" i="7"/>
  <c r="J6" i="7"/>
  <c r="K6" i="7" s="1"/>
  <c r="L5" i="7"/>
  <c r="J5" i="7"/>
  <c r="K5" i="7" s="1"/>
  <c r="L4" i="7"/>
  <c r="J4" i="7"/>
  <c r="K4" i="7" s="1"/>
  <c r="L3" i="7"/>
  <c r="J3" i="7"/>
  <c r="K3" i="7" s="1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3" i="4"/>
  <c r="K4" i="4"/>
  <c r="L4" i="4" s="1"/>
  <c r="K5" i="4"/>
  <c r="L5" i="4" s="1"/>
  <c r="K6" i="4"/>
  <c r="L6" i="4" s="1"/>
  <c r="K7" i="4"/>
  <c r="L7" i="4" s="1"/>
  <c r="K8" i="4"/>
  <c r="L8" i="4" s="1"/>
  <c r="K9" i="4"/>
  <c r="L9" i="4" s="1"/>
  <c r="K10" i="4"/>
  <c r="L10" i="4" s="1"/>
  <c r="K11" i="4"/>
  <c r="L11" i="4" s="1"/>
  <c r="K12" i="4"/>
  <c r="L12" i="4" s="1"/>
  <c r="K13" i="4"/>
  <c r="L13" i="4" s="1"/>
  <c r="K14" i="4"/>
  <c r="L14" i="4" s="1"/>
  <c r="K15" i="4"/>
  <c r="L15" i="4" s="1"/>
  <c r="K16" i="4"/>
  <c r="L16" i="4" s="1"/>
  <c r="K17" i="4"/>
  <c r="L17" i="4" s="1"/>
  <c r="K18" i="4"/>
  <c r="L18" i="4" s="1"/>
  <c r="K19" i="4"/>
  <c r="L19" i="4" s="1"/>
  <c r="K20" i="4"/>
  <c r="L20" i="4" s="1"/>
  <c r="K21" i="4"/>
  <c r="L21" i="4" s="1"/>
  <c r="K22" i="4"/>
  <c r="L22" i="4" s="1"/>
  <c r="K23" i="4"/>
  <c r="L23" i="4" s="1"/>
  <c r="K24" i="4"/>
  <c r="L24" i="4" s="1"/>
  <c r="K25" i="4"/>
  <c r="L25" i="4" s="1"/>
  <c r="K26" i="4"/>
  <c r="L26" i="4" s="1"/>
  <c r="K27" i="4"/>
  <c r="L27" i="4" s="1"/>
  <c r="H18" i="5" l="1"/>
  <c r="H17" i="5"/>
  <c r="H16" i="5"/>
  <c r="H4" i="5"/>
  <c r="H28" i="5"/>
  <c r="H12" i="5"/>
  <c r="H24" i="5"/>
  <c r="H21" i="5"/>
  <c r="H5" i="5"/>
  <c r="H14" i="5"/>
  <c r="H26" i="5"/>
  <c r="H9" i="5"/>
  <c r="H7" i="5"/>
  <c r="H20" i="5"/>
  <c r="H8" i="5"/>
  <c r="H27" i="5"/>
  <c r="H15" i="5"/>
  <c r="H25" i="5"/>
  <c r="H13" i="5"/>
  <c r="H23" i="5"/>
  <c r="H11" i="5"/>
  <c r="H22" i="5"/>
  <c r="H10" i="5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7" i="4" l="1"/>
  <c r="N27" i="4" s="1"/>
  <c r="N3" i="4"/>
  <c r="H9" i="7"/>
  <c r="H21" i="7"/>
  <c r="H22" i="7"/>
  <c r="H23" i="7"/>
  <c r="H12" i="7"/>
  <c r="H24" i="7"/>
  <c r="H10" i="7"/>
  <c r="H13" i="7"/>
  <c r="H25" i="7"/>
  <c r="H8" i="7"/>
  <c r="H14" i="7"/>
  <c r="H26" i="7"/>
  <c r="H3" i="7"/>
  <c r="H15" i="7"/>
  <c r="H27" i="7"/>
  <c r="H4" i="7"/>
  <c r="H16" i="7"/>
  <c r="H11" i="7"/>
  <c r="H5" i="7"/>
  <c r="H17" i="7"/>
  <c r="H20" i="7"/>
  <c r="H6" i="7"/>
  <c r="H18" i="7"/>
  <c r="H7" i="7"/>
  <c r="H19" i="7"/>
  <c r="G7" i="7"/>
  <c r="G19" i="7"/>
  <c r="G21" i="7"/>
  <c r="G8" i="7"/>
  <c r="G22" i="7"/>
  <c r="G11" i="7"/>
  <c r="G23" i="7"/>
  <c r="G17" i="7"/>
  <c r="G6" i="7"/>
  <c r="G20" i="7"/>
  <c r="G10" i="7"/>
  <c r="G12" i="7"/>
  <c r="G24" i="7"/>
  <c r="G18" i="7"/>
  <c r="G13" i="7"/>
  <c r="G25" i="7"/>
  <c r="G14" i="7"/>
  <c r="G26" i="7"/>
  <c r="G3" i="7"/>
  <c r="G15" i="7"/>
  <c r="G27" i="7"/>
  <c r="G5" i="7"/>
  <c r="G9" i="7"/>
  <c r="G4" i="7"/>
  <c r="G16" i="7"/>
  <c r="G6" i="4"/>
  <c r="N6" i="4"/>
  <c r="G18" i="4"/>
  <c r="N18" i="4"/>
  <c r="G7" i="4"/>
  <c r="N7" i="4"/>
  <c r="G19" i="4"/>
  <c r="N19" i="4"/>
  <c r="G8" i="4"/>
  <c r="N8" i="4"/>
  <c r="G20" i="4"/>
  <c r="N20" i="4"/>
  <c r="G9" i="4"/>
  <c r="N9" i="4"/>
  <c r="G21" i="4"/>
  <c r="N21" i="4"/>
  <c r="G17" i="4"/>
  <c r="N17" i="4"/>
  <c r="G10" i="4"/>
  <c r="N10" i="4"/>
  <c r="G22" i="4"/>
  <c r="N22" i="4"/>
  <c r="G11" i="4"/>
  <c r="N11" i="4"/>
  <c r="G23" i="4"/>
  <c r="N23" i="4"/>
  <c r="G12" i="4"/>
  <c r="N12" i="4"/>
  <c r="G24" i="4"/>
  <c r="N24" i="4"/>
  <c r="G13" i="4"/>
  <c r="N13" i="4"/>
  <c r="G25" i="4"/>
  <c r="N25" i="4"/>
  <c r="G14" i="4"/>
  <c r="N14" i="4"/>
  <c r="G26" i="4"/>
  <c r="N26" i="4"/>
  <c r="G3" i="4"/>
  <c r="G15" i="4"/>
  <c r="N15" i="4"/>
  <c r="G27" i="4"/>
  <c r="G5" i="4"/>
  <c r="N5" i="4"/>
  <c r="G4" i="4"/>
  <c r="N4" i="4"/>
  <c r="G16" i="4"/>
  <c r="N16" i="4"/>
  <c r="N29" i="4" l="1"/>
  <c r="M9" i="7"/>
  <c r="M14" i="7"/>
  <c r="M10" i="7"/>
  <c r="M22" i="7"/>
  <c r="M26" i="7"/>
  <c r="M5" i="7"/>
  <c r="M25" i="7"/>
  <c r="M20" i="7"/>
  <c r="M8" i="7"/>
  <c r="M27" i="7"/>
  <c r="M13" i="7"/>
  <c r="M6" i="7"/>
  <c r="M21" i="7"/>
  <c r="M11" i="7"/>
  <c r="M4" i="7"/>
  <c r="M15" i="7"/>
  <c r="M18" i="7"/>
  <c r="M17" i="7"/>
  <c r="M19" i="7"/>
  <c r="M16" i="7"/>
  <c r="M3" i="7"/>
  <c r="M24" i="7"/>
  <c r="M23" i="7"/>
  <c r="M7" i="7"/>
  <c r="M12" i="7"/>
  <c r="N18" i="7" l="1"/>
  <c r="O18" i="7" s="1"/>
  <c r="P18" i="7" s="1"/>
  <c r="S18" i="7" s="1"/>
  <c r="N19" i="7"/>
  <c r="O19" i="7" s="1"/>
  <c r="P19" i="7" s="1"/>
  <c r="S19" i="7" s="1"/>
  <c r="N4" i="7"/>
  <c r="O4" i="7" s="1"/>
  <c r="P4" i="7" s="1"/>
  <c r="S4" i="7" s="1"/>
  <c r="N20" i="7"/>
  <c r="O20" i="7" s="1"/>
  <c r="P20" i="7" s="1"/>
  <c r="S20" i="7" s="1"/>
  <c r="N9" i="7"/>
  <c r="O9" i="7" s="1"/>
  <c r="P9" i="7" s="1"/>
  <c r="S9" i="7" s="1"/>
  <c r="N11" i="7"/>
  <c r="O11" i="7" s="1"/>
  <c r="P11" i="7" s="1"/>
  <c r="Q11" i="7" s="1"/>
  <c r="N5" i="7"/>
  <c r="O5" i="7" s="1"/>
  <c r="P5" i="7" s="1"/>
  <c r="S5" i="7" s="1"/>
  <c r="N6" i="7"/>
  <c r="O6" i="7" s="1"/>
  <c r="P6" i="7" s="1"/>
  <c r="Q6" i="7" s="1"/>
  <c r="N22" i="7"/>
  <c r="O22" i="7" s="1"/>
  <c r="P22" i="7" s="1"/>
  <c r="Q22" i="7" s="1"/>
  <c r="N7" i="7"/>
  <c r="O7" i="7" s="1"/>
  <c r="P7" i="7" s="1"/>
  <c r="S7" i="7" s="1"/>
  <c r="N25" i="7"/>
  <c r="O25" i="7" s="1"/>
  <c r="P25" i="7" s="1"/>
  <c r="S25" i="7" s="1"/>
  <c r="N10" i="7"/>
  <c r="O10" i="7" s="1"/>
  <c r="P10" i="7" s="1"/>
  <c r="Q10" i="7" s="1"/>
  <c r="N8" i="7"/>
  <c r="O8" i="7" s="1"/>
  <c r="P8" i="7" s="1"/>
  <c r="S8" i="7" s="1"/>
  <c r="N12" i="7"/>
  <c r="O12" i="7" s="1"/>
  <c r="P12" i="7" s="1"/>
  <c r="Q12" i="7" s="1"/>
  <c r="N3" i="7"/>
  <c r="O3" i="7" s="1"/>
  <c r="P3" i="7" s="1"/>
  <c r="N24" i="7"/>
  <c r="O24" i="7" s="1"/>
  <c r="P24" i="7" s="1"/>
  <c r="S24" i="7" s="1"/>
  <c r="N26" i="7"/>
  <c r="O26" i="7" s="1"/>
  <c r="P26" i="7" s="1"/>
  <c r="Q26" i="7" s="1"/>
  <c r="N13" i="7"/>
  <c r="O13" i="7" s="1"/>
  <c r="P13" i="7" s="1"/>
  <c r="S13" i="7" s="1"/>
  <c r="N14" i="7"/>
  <c r="O14" i="7" s="1"/>
  <c r="P14" i="7" s="1"/>
  <c r="Q14" i="7" s="1"/>
  <c r="N15" i="7"/>
  <c r="O15" i="7" s="1"/>
  <c r="P15" i="7" s="1"/>
  <c r="S15" i="7" s="1"/>
  <c r="N23" i="7"/>
  <c r="O23" i="7" s="1"/>
  <c r="P23" i="7" s="1"/>
  <c r="Q23" i="7" s="1"/>
  <c r="N27" i="7"/>
  <c r="O27" i="7" s="1"/>
  <c r="P27" i="7" s="1"/>
  <c r="N16" i="7"/>
  <c r="O16" i="7" s="1"/>
  <c r="P16" i="7" s="1"/>
  <c r="S16" i="7" s="1"/>
  <c r="N21" i="7"/>
  <c r="O21" i="7" s="1"/>
  <c r="P21" i="7" s="1"/>
  <c r="S21" i="7" s="1"/>
  <c r="N17" i="7"/>
  <c r="O17" i="7" s="1"/>
  <c r="P17" i="7" s="1"/>
  <c r="S17" i="7" s="1"/>
  <c r="Q17" i="7"/>
  <c r="S23" i="7"/>
  <c r="Q9" i="7" l="1"/>
  <c r="S14" i="7"/>
  <c r="Q13" i="7"/>
  <c r="S26" i="7"/>
  <c r="Q18" i="7"/>
  <c r="Q19" i="7"/>
  <c r="S22" i="7"/>
  <c r="Q16" i="7"/>
  <c r="S11" i="7"/>
  <c r="S12" i="7"/>
  <c r="S6" i="7"/>
  <c r="Q4" i="7"/>
  <c r="Q20" i="7"/>
  <c r="S3" i="7"/>
  <c r="Q3" i="7"/>
  <c r="Q25" i="7"/>
  <c r="Q8" i="7"/>
  <c r="Q5" i="7"/>
  <c r="S27" i="7"/>
  <c r="Q27" i="7"/>
  <c r="S10" i="7"/>
  <c r="Q24" i="7"/>
  <c r="Q21" i="7"/>
  <c r="Q7" i="7"/>
  <c r="Q15" i="7"/>
  <c r="F28" i="5"/>
  <c r="I28" i="5" s="1"/>
  <c r="E28" i="5"/>
  <c r="D28" i="5"/>
  <c r="B28" i="5"/>
  <c r="F27" i="5"/>
  <c r="I27" i="5" s="1"/>
  <c r="E27" i="5"/>
  <c r="D27" i="5"/>
  <c r="B27" i="5"/>
  <c r="F26" i="5"/>
  <c r="I26" i="5" s="1"/>
  <c r="E26" i="5"/>
  <c r="D26" i="5"/>
  <c r="B26" i="5"/>
  <c r="F25" i="5"/>
  <c r="I25" i="5" s="1"/>
  <c r="E25" i="5"/>
  <c r="D25" i="5"/>
  <c r="B25" i="5"/>
  <c r="F24" i="5"/>
  <c r="I24" i="5" s="1"/>
  <c r="E24" i="5"/>
  <c r="D24" i="5"/>
  <c r="B24" i="5"/>
  <c r="F23" i="5"/>
  <c r="I23" i="5" s="1"/>
  <c r="E23" i="5"/>
  <c r="D23" i="5"/>
  <c r="B23" i="5"/>
  <c r="F22" i="5"/>
  <c r="I22" i="5" s="1"/>
  <c r="E22" i="5"/>
  <c r="D22" i="5"/>
  <c r="B22" i="5"/>
  <c r="F21" i="5"/>
  <c r="I21" i="5" s="1"/>
  <c r="E21" i="5"/>
  <c r="D21" i="5"/>
  <c r="B21" i="5"/>
  <c r="F20" i="5"/>
  <c r="I20" i="5" s="1"/>
  <c r="E20" i="5"/>
  <c r="D20" i="5"/>
  <c r="B20" i="5"/>
  <c r="F19" i="5"/>
  <c r="I19" i="5" s="1"/>
  <c r="E19" i="5"/>
  <c r="D19" i="5"/>
  <c r="B19" i="5"/>
  <c r="F18" i="5"/>
  <c r="I18" i="5" s="1"/>
  <c r="E18" i="5"/>
  <c r="D18" i="5"/>
  <c r="B18" i="5"/>
  <c r="F17" i="5"/>
  <c r="I17" i="5" s="1"/>
  <c r="E17" i="5"/>
  <c r="D17" i="5"/>
  <c r="B17" i="5"/>
  <c r="F16" i="5"/>
  <c r="I16" i="5" s="1"/>
  <c r="E16" i="5"/>
  <c r="D16" i="5"/>
  <c r="B16" i="5"/>
  <c r="F15" i="5"/>
  <c r="I15" i="5" s="1"/>
  <c r="E15" i="5"/>
  <c r="D15" i="5"/>
  <c r="B15" i="5"/>
  <c r="F14" i="5"/>
  <c r="I14" i="5" s="1"/>
  <c r="E14" i="5"/>
  <c r="D14" i="5"/>
  <c r="B14" i="5"/>
  <c r="F13" i="5"/>
  <c r="I13" i="5" s="1"/>
  <c r="E13" i="5"/>
  <c r="D13" i="5"/>
  <c r="B13" i="5"/>
  <c r="F12" i="5"/>
  <c r="I12" i="5" s="1"/>
  <c r="E12" i="5"/>
  <c r="D12" i="5"/>
  <c r="B12" i="5"/>
  <c r="F11" i="5"/>
  <c r="I11" i="5" s="1"/>
  <c r="E11" i="5"/>
  <c r="D11" i="5"/>
  <c r="B11" i="5"/>
  <c r="F10" i="5"/>
  <c r="I10" i="5" s="1"/>
  <c r="E10" i="5"/>
  <c r="D10" i="5"/>
  <c r="B10" i="5"/>
  <c r="F9" i="5"/>
  <c r="I9" i="5" s="1"/>
  <c r="E9" i="5"/>
  <c r="D9" i="5"/>
  <c r="B9" i="5"/>
  <c r="F8" i="5"/>
  <c r="I8" i="5" s="1"/>
  <c r="E8" i="5"/>
  <c r="D8" i="5"/>
  <c r="B8" i="5"/>
  <c r="F7" i="5"/>
  <c r="I7" i="5" s="1"/>
  <c r="E7" i="5"/>
  <c r="D7" i="5"/>
  <c r="B7" i="5"/>
  <c r="F6" i="5"/>
  <c r="I6" i="5" s="1"/>
  <c r="E6" i="5"/>
  <c r="D6" i="5"/>
  <c r="B6" i="5"/>
  <c r="F5" i="5"/>
  <c r="I5" i="5" s="1"/>
  <c r="E5" i="5"/>
  <c r="D5" i="5"/>
  <c r="B5" i="5"/>
  <c r="F4" i="5"/>
  <c r="I4" i="5" s="1"/>
  <c r="E4" i="5"/>
  <c r="D4" i="5"/>
  <c r="B4" i="5"/>
  <c r="W4" i="5" l="1" a="1"/>
  <c r="W4" i="5" l="1"/>
  <c r="P18" i="5" s="1"/>
  <c r="S18" i="5" s="1"/>
  <c r="P23" i="5" l="1"/>
  <c r="S23" i="5" s="1"/>
  <c r="P17" i="5"/>
  <c r="S17" i="5" s="1"/>
  <c r="P16" i="5"/>
  <c r="S16" i="5" s="1"/>
  <c r="P13" i="5"/>
  <c r="S13" i="5" s="1"/>
  <c r="P8" i="5"/>
  <c r="S8" i="5" s="1"/>
  <c r="P20" i="5"/>
  <c r="S20" i="5" s="1"/>
  <c r="P6" i="5"/>
  <c r="S6" i="5" s="1"/>
  <c r="P14" i="5"/>
  <c r="S14" i="5" s="1"/>
  <c r="P4" i="5"/>
  <c r="S4" i="5" s="1"/>
  <c r="P28" i="5"/>
  <c r="S28" i="5" s="1"/>
  <c r="P7" i="5"/>
  <c r="S7" i="5" s="1"/>
  <c r="P25" i="5"/>
  <c r="S25" i="5" s="1"/>
  <c r="P19" i="5"/>
  <c r="S19" i="5" s="1"/>
  <c r="P5" i="5"/>
  <c r="S5" i="5" s="1"/>
  <c r="P11" i="5"/>
  <c r="S11" i="5" s="1"/>
  <c r="P15" i="5"/>
  <c r="S15" i="5" s="1"/>
  <c r="P26" i="5"/>
  <c r="S26" i="5" s="1"/>
  <c r="P22" i="5"/>
  <c r="S22" i="5" s="1"/>
  <c r="P21" i="5"/>
  <c r="S21" i="5" s="1"/>
  <c r="P27" i="5"/>
  <c r="S27" i="5" s="1"/>
  <c r="P10" i="5"/>
  <c r="S10" i="5" s="1"/>
  <c r="P24" i="5"/>
  <c r="S24" i="5" s="1"/>
  <c r="P12" i="5"/>
  <c r="S12" i="5" s="1"/>
  <c r="P9" i="5"/>
  <c r="S9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<sst xmlns="http://schemas.openxmlformats.org/spreadsheetml/2006/main" count="74" uniqueCount="47">
  <si>
    <t>Q</t>
  </si>
  <si>
    <t>Q^2</t>
  </si>
  <si>
    <t>H</t>
  </si>
  <si>
    <t>H^2</t>
  </si>
  <si>
    <t>QH</t>
  </si>
  <si>
    <t>A5</t>
  </si>
  <si>
    <t>A4</t>
  </si>
  <si>
    <t>A3</t>
  </si>
  <si>
    <t>A2</t>
  </si>
  <si>
    <t>A1</t>
  </si>
  <si>
    <t>A0</t>
  </si>
  <si>
    <t>揚程(m)</t>
    <phoneticPr fontId="3" type="noConversion"/>
  </si>
  <si>
    <t>耗電(kW)</t>
    <phoneticPr fontId="3" type="noConversion"/>
  </si>
  <si>
    <t>項次</t>
    <phoneticPr fontId="3" type="noConversion"/>
  </si>
  <si>
    <r>
      <t>流量Q(m</t>
    </r>
    <r>
      <rPr>
        <b/>
        <vertAlign val="superscript"/>
        <sz val="12"/>
        <rFont val="標楷體"/>
        <family val="4"/>
        <charset val="136"/>
      </rPr>
      <t>3</t>
    </r>
    <r>
      <rPr>
        <b/>
        <sz val="12"/>
        <rFont val="標楷體"/>
        <family val="4"/>
        <charset val="136"/>
      </rPr>
      <t>/h)</t>
    </r>
    <phoneticPr fontId="3" type="noConversion"/>
  </si>
  <si>
    <t>輸入數值</t>
    <phoneticPr fontId="3" type="noConversion"/>
  </si>
  <si>
    <t>↑</t>
  </si>
  <si>
    <t>迴歸值</t>
    <phoneticPr fontId="3" type="noConversion"/>
  </si>
  <si>
    <t>廻歸耗電(kW)</t>
    <phoneticPr fontId="3" type="noConversion"/>
  </si>
  <si>
    <t>迴歸係數 A0~A5</t>
    <phoneticPr fontId="3" type="noConversion"/>
  </si>
  <si>
    <t>原始耗電(kW)</t>
    <phoneticPr fontId="3" type="noConversion"/>
  </si>
  <si>
    <t>↓</t>
  </si>
  <si>
    <t>耗電比</t>
    <phoneticPr fontId="3" type="noConversion"/>
  </si>
  <si>
    <t>水動力</t>
    <phoneticPr fontId="3" type="noConversion"/>
  </si>
  <si>
    <t>R比重</t>
    <phoneticPr fontId="3" type="noConversion"/>
  </si>
  <si>
    <t>轉速(RPM)</t>
    <phoneticPr fontId="3" type="noConversion"/>
  </si>
  <si>
    <t>ns</t>
    <phoneticPr fontId="3" type="noConversion"/>
  </si>
  <si>
    <t>效率</t>
    <phoneticPr fontId="3" type="noConversion"/>
  </si>
  <si>
    <t>X ln(n)=</t>
    <phoneticPr fontId="3" type="noConversion"/>
  </si>
  <si>
    <t>Y ln(Q)=</t>
    <phoneticPr fontId="3" type="noConversion"/>
  </si>
  <si>
    <t>C</t>
    <phoneticPr fontId="3" type="noConversion"/>
  </si>
  <si>
    <t>帶入水動力計算耗電</t>
    <phoneticPr fontId="3" type="noConversion"/>
  </si>
  <si>
    <t>汰換後C值</t>
    <phoneticPr fontId="3" type="noConversion"/>
  </si>
  <si>
    <t>節能率</t>
    <phoneticPr fontId="3" type="noConversion"/>
  </si>
  <si>
    <t>計算</t>
    <phoneticPr fontId="3" type="noConversion"/>
  </si>
  <si>
    <t>新泵規格(新基準)</t>
    <phoneticPr fontId="3" type="noConversion"/>
  </si>
  <si>
    <t>舊泵量測數值(舊基準)</t>
    <phoneticPr fontId="3" type="noConversion"/>
  </si>
  <si>
    <t>迴歸值</t>
  </si>
  <si>
    <t>汰換前平均C值</t>
    <phoneticPr fontId="3" type="noConversion"/>
  </si>
  <si>
    <t>效率(帶入汰換前C值)</t>
    <phoneticPr fontId="3" type="noConversion"/>
  </si>
  <si>
    <t>電力值變成負值無法形成有效耗電比</t>
    <phoneticPr fontId="3" type="noConversion"/>
  </si>
  <si>
    <t>汰換前舊水泵資訊</t>
    <phoneticPr fontId="3" type="noConversion"/>
  </si>
  <si>
    <t>汰換後新水泵資訊</t>
    <phoneticPr fontId="3" type="noConversion"/>
  </si>
  <si>
    <t>汰換前舊水泵迴歸值</t>
  </si>
  <si>
    <t>效率%</t>
    <phoneticPr fontId="3" type="noConversion"/>
  </si>
  <si>
    <t>計算值</t>
    <phoneticPr fontId="3" type="noConversion"/>
  </si>
  <si>
    <t>更新後輸入數值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</si>
</sst>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00000000000_ "/>
    <numFmt numFmtId="178" formatCode="0.00_ "/>
    <numFmt numFmtId="179" formatCode="0.00_);[Red]\(0.00\)"/>
  </numFmts>
  <fonts count="29" x14ac:knownFonts="1">
    <font>
      <sz val="11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b/>
      <sz val="11"/>
      <name val="新細明體"/>
      <family val="1"/>
      <charset val="136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1"/>
      <color rgb="FFFF0000"/>
      <name val="新細明體"/>
      <family val="2"/>
      <scheme val="minor"/>
    </font>
    <font>
      <b/>
      <sz val="15"/>
      <color theme="3"/>
      <name val="新細明體"/>
      <family val="2"/>
      <charset val="136"/>
      <scheme val="minor"/>
    </font>
    <font>
      <b/>
      <sz val="13"/>
      <color theme="3"/>
      <name val="新細明體"/>
      <family val="2"/>
      <charset val="136"/>
      <scheme val="minor"/>
    </font>
    <font>
      <b/>
      <sz val="11"/>
      <color theme="3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0006"/>
      <name val="新細明體"/>
      <family val="2"/>
      <charset val="136"/>
      <scheme val="minor"/>
    </font>
    <font>
      <sz val="12"/>
      <color rgb="FF3F3F76"/>
      <name val="新細明體"/>
      <family val="2"/>
      <charset val="136"/>
      <scheme val="minor"/>
    </font>
    <font>
      <b/>
      <sz val="12"/>
      <color rgb="FF3F3F3F"/>
      <name val="新細明體"/>
      <family val="2"/>
      <charset val="136"/>
      <scheme val="minor"/>
    </font>
    <font>
      <b/>
      <sz val="12"/>
      <color rgb="FFFA7D00"/>
      <name val="新細明體"/>
      <family val="2"/>
      <charset val="136"/>
      <scheme val="minor"/>
    </font>
    <font>
      <sz val="12"/>
      <color rgb="FFFA7D00"/>
      <name val="新細明體"/>
      <family val="2"/>
      <charset val="136"/>
      <scheme val="minor"/>
    </font>
    <font>
      <b/>
      <sz val="12"/>
      <color theme="0"/>
      <name val="新細明體"/>
      <family val="2"/>
      <charset val="136"/>
      <scheme val="minor"/>
    </font>
    <font>
      <sz val="12"/>
      <color rgb="FFFF0000"/>
      <name val="新細明體"/>
      <family val="2"/>
      <charset val="136"/>
      <scheme val="minor"/>
    </font>
    <font>
      <i/>
      <sz val="12"/>
      <color rgb="FF7F7F7F"/>
      <name val="新細明體"/>
      <family val="2"/>
      <charset val="136"/>
      <scheme val="minor"/>
    </font>
    <font>
      <b/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b/>
      <sz val="18"/>
      <color theme="3"/>
      <name val="新細明體"/>
      <family val="2"/>
      <charset val="136"/>
      <scheme val="major"/>
    </font>
    <font>
      <sz val="12"/>
      <color rgb="FF9C6500"/>
      <name val="新細明體"/>
      <family val="2"/>
      <charset val="136"/>
      <scheme val="minor"/>
    </font>
    <font>
      <sz val="11"/>
      <color theme="1"/>
      <name val="新細明體"/>
      <family val="2"/>
      <scheme val="minor"/>
    </font>
    <font>
      <sz val="16"/>
      <color theme="1"/>
      <name val="新細明體"/>
      <family val="1"/>
      <charset val="136"/>
      <scheme val="minor"/>
    </font>
    <font>
      <sz val="16"/>
      <color rgb="FFFF0000"/>
      <name val="新細明體"/>
      <family val="1"/>
      <charset val="136"/>
      <scheme val="minor"/>
    </font>
    <font>
      <sz val="20"/>
      <color rgb="FFFF0000"/>
      <name val="標楷體"/>
      <family val="4"/>
      <charset val="136"/>
    </font>
  </fonts>
  <fills count="3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8" borderId="16" applyNumberFormat="0" applyAlignment="0" applyProtection="0">
      <alignment vertical="center"/>
    </xf>
    <xf numFmtId="0" fontId="15" fillId="9" borderId="17" applyNumberFormat="0" applyAlignment="0" applyProtection="0">
      <alignment vertical="center"/>
    </xf>
    <xf numFmtId="0" fontId="16" fillId="9" borderId="16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10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1" fillId="11" borderId="20" applyNumberFormat="0" applyFon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</cellStyleXfs>
  <cellXfs count="87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76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7" fillId="2" borderId="23" xfId="0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10" fontId="7" fillId="2" borderId="25" xfId="43" applyNumberFormat="1" applyFont="1" applyFill="1" applyBorder="1" applyAlignment="1">
      <alignment horizontal="center" vertical="center"/>
    </xf>
    <xf numFmtId="10" fontId="7" fillId="2" borderId="26" xfId="43" applyNumberFormat="1" applyFont="1" applyFill="1" applyBorder="1" applyAlignment="1">
      <alignment horizontal="center" vertical="center"/>
    </xf>
    <xf numFmtId="2" fontId="0" fillId="0" borderId="5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0" fontId="2" fillId="36" borderId="5" xfId="0" applyFont="1" applyFill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26" fillId="0" borderId="0" xfId="0" applyFont="1"/>
    <xf numFmtId="0" fontId="4" fillId="0" borderId="0" xfId="0" applyFont="1"/>
    <xf numFmtId="0" fontId="0" fillId="36" borderId="32" xfId="0" applyFill="1" applyBorder="1" applyAlignment="1">
      <alignment horizontal="center"/>
    </xf>
    <xf numFmtId="178" fontId="7" fillId="2" borderId="1" xfId="0" applyNumberFormat="1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8" fillId="3" borderId="11" xfId="0" applyFont="1" applyFill="1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2" xfId="0" applyBorder="1" applyAlignment="1">
      <alignment horizontal="center"/>
    </xf>
    <xf numFmtId="0" fontId="28" fillId="3" borderId="9" xfId="0" applyFont="1" applyFill="1" applyBorder="1" applyAlignment="1">
      <alignment horizontal="center"/>
    </xf>
    <xf numFmtId="0" fontId="28" fillId="3" borderId="10" xfId="0" applyFont="1" applyFill="1" applyBorder="1" applyAlignment="1">
      <alignment horizontal="center"/>
    </xf>
    <xf numFmtId="0" fontId="28" fillId="3" borderId="11" xfId="0" applyFont="1" applyFill="1" applyBorder="1" applyAlignment="1">
      <alignment horizontal="center"/>
    </xf>
    <xf numFmtId="0" fontId="27" fillId="3" borderId="0" xfId="0" applyFont="1" applyFill="1" applyAlignment="1">
      <alignment horizontal="center"/>
    </xf>
    <xf numFmtId="0" fontId="27" fillId="3" borderId="31" xfId="0" applyFont="1" applyFill="1" applyBorder="1" applyAlignment="1">
      <alignment horizontal="center"/>
    </xf>
    <xf numFmtId="178" fontId="0" fillId="0" borderId="1" xfId="0" applyNumberFormat="1" applyBorder="1" applyAlignment="1">
      <alignment horizontal="center"/>
    </xf>
    <xf numFmtId="178" fontId="0" fillId="4" borderId="1" xfId="0" applyNumberFormat="1" applyFill="1" applyBorder="1" applyAlignment="1">
      <alignment horizontal="center"/>
    </xf>
    <xf numFmtId="178" fontId="0" fillId="0" borderId="7" xfId="0" applyNumberFormat="1" applyBorder="1" applyAlignment="1">
      <alignment horizontal="center"/>
    </xf>
    <xf numFmtId="178" fontId="0" fillId="4" borderId="7" xfId="0" applyNumberForma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78" fontId="7" fillId="2" borderId="7" xfId="0" applyNumberFormat="1" applyFont="1" applyFill="1" applyBorder="1" applyAlignment="1">
      <alignment horizontal="center" vertical="center"/>
    </xf>
    <xf numFmtId="178" fontId="7" fillId="2" borderId="27" xfId="0" applyNumberFormat="1" applyFont="1" applyFill="1" applyBorder="1" applyAlignment="1">
      <alignment horizontal="center" vertical="center"/>
    </xf>
    <xf numFmtId="178" fontId="7" fillId="2" borderId="28" xfId="0" applyNumberFormat="1" applyFont="1" applyFill="1" applyBorder="1" applyAlignment="1">
      <alignment horizontal="center" vertical="center"/>
    </xf>
    <xf numFmtId="178" fontId="7" fillId="2" borderId="4" xfId="0" applyNumberFormat="1" applyFont="1" applyFill="1" applyBorder="1" applyAlignment="1">
      <alignment horizontal="center" vertical="center"/>
    </xf>
    <xf numFmtId="178" fontId="7" fillId="2" borderId="5" xfId="0" applyNumberFormat="1" applyFont="1" applyFill="1" applyBorder="1" applyAlignment="1">
      <alignment horizontal="center" vertical="center"/>
    </xf>
    <xf numFmtId="178" fontId="7" fillId="2" borderId="8" xfId="0" applyNumberFormat="1" applyFont="1" applyFill="1" applyBorder="1" applyAlignment="1">
      <alignment horizontal="center" vertical="center"/>
    </xf>
    <xf numFmtId="178" fontId="7" fillId="2" borderId="25" xfId="0" applyNumberFormat="1" applyFont="1" applyFill="1" applyBorder="1" applyAlignment="1">
      <alignment horizontal="center" vertical="center"/>
    </xf>
    <xf numFmtId="178" fontId="7" fillId="2" borderId="6" xfId="0" applyNumberFormat="1" applyFont="1" applyFill="1" applyBorder="1" applyAlignment="1">
      <alignment horizontal="center" vertical="center"/>
    </xf>
    <xf numFmtId="178" fontId="7" fillId="2" borderId="26" xfId="0" applyNumberFormat="1" applyFont="1" applyFill="1" applyBorder="1" applyAlignment="1">
      <alignment horizontal="center" vertical="center"/>
    </xf>
    <xf numFmtId="179" fontId="5" fillId="0" borderId="2" xfId="0" applyNumberFormat="1" applyFont="1" applyBorder="1" applyAlignment="1">
      <alignment horizontal="center"/>
    </xf>
    <xf numFmtId="179" fontId="5" fillId="0" borderId="3" xfId="0" applyNumberFormat="1" applyFont="1" applyBorder="1" applyAlignment="1">
      <alignment horizontal="center"/>
    </xf>
    <xf numFmtId="179" fontId="5" fillId="0" borderId="12" xfId="0" applyNumberFormat="1" applyFont="1" applyBorder="1" applyAlignment="1">
      <alignment horizontal="center"/>
    </xf>
    <xf numFmtId="179" fontId="7" fillId="2" borderId="4" xfId="0" applyNumberFormat="1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179" fontId="7" fillId="2" borderId="5" xfId="0" applyNumberFormat="1" applyFont="1" applyFill="1" applyBorder="1" applyAlignment="1">
      <alignment horizontal="center" vertical="center"/>
    </xf>
    <xf numFmtId="179" fontId="7" fillId="2" borderId="6" xfId="0" applyNumberFormat="1" applyFont="1" applyFill="1" applyBorder="1" applyAlignment="1">
      <alignment horizontal="center" vertical="center"/>
    </xf>
    <xf numFmtId="179" fontId="7" fillId="2" borderId="7" xfId="0" applyNumberFormat="1" applyFont="1" applyFill="1" applyBorder="1" applyAlignment="1">
      <alignment horizontal="center" vertical="center"/>
    </xf>
    <xf numFmtId="179" fontId="7" fillId="2" borderId="8" xfId="0" applyNumberFormat="1" applyFont="1" applyFill="1" applyBorder="1" applyAlignment="1">
      <alignment horizontal="center" vertical="center"/>
    </xf>
    <xf numFmtId="178" fontId="0" fillId="36" borderId="5" xfId="0" applyNumberFormat="1" applyFill="1" applyBorder="1" applyAlignment="1">
      <alignment horizontal="center"/>
    </xf>
    <xf numFmtId="178" fontId="0" fillId="36" borderId="8" xfId="0" applyNumberFormat="1" applyFill="1" applyBorder="1" applyAlignment="1">
      <alignment horizontal="center"/>
    </xf>
  </cellXfs>
  <cellStyles count="44">
    <cellStyle name="20% - 輔色1" xfId="16" builtinId="30" customBuiltin="1"/>
    <cellStyle name="20% - 輔色2" xfId="19" builtinId="34" customBuiltin="1"/>
    <cellStyle name="20% - 輔色3" xfId="22" builtinId="38" customBuiltin="1"/>
    <cellStyle name="20% - 輔色4" xfId="25" builtinId="42" customBuiltin="1"/>
    <cellStyle name="20% - 輔色5" xfId="28" builtinId="46" customBuiltin="1"/>
    <cellStyle name="20% - 輔色6" xfId="31" builtinId="50" customBuiltin="1"/>
    <cellStyle name="40% - 輔色1" xfId="17" builtinId="31" customBuiltin="1"/>
    <cellStyle name="40% - 輔色2" xfId="20" builtinId="35" customBuiltin="1"/>
    <cellStyle name="40% - 輔色3" xfId="23" builtinId="39" customBuiltin="1"/>
    <cellStyle name="40% - 輔色4" xfId="26" builtinId="43" customBuiltin="1"/>
    <cellStyle name="40% - 輔色5" xfId="29" builtinId="47" customBuiltin="1"/>
    <cellStyle name="40% - 輔色6" xfId="32" builtinId="51" customBuiltin="1"/>
    <cellStyle name="60% - 輔色1 2" xfId="37" xr:uid="{47B9AD4A-DB53-45E9-9D39-4FE458F8E839}"/>
    <cellStyle name="60% - 輔色2 2" xfId="38" xr:uid="{482D21C6-7E69-4EDA-BE18-39BF12130B49}"/>
    <cellStyle name="60% - 輔色3 2" xfId="39" xr:uid="{1E04FB8A-8D0E-4F00-98F7-BF65550B4C04}"/>
    <cellStyle name="60% - 輔色4 2" xfId="40" xr:uid="{80DDE269-E110-4607-870C-B40CE0BE5C5E}"/>
    <cellStyle name="60% - 輔色5 2" xfId="41" xr:uid="{01D3DC36-59F6-4EA1-ADF7-31D3CB53837C}"/>
    <cellStyle name="60% - 輔色6 2" xfId="42" xr:uid="{DC326E80-AE74-49D2-83C0-D8142D0F0BF8}"/>
    <cellStyle name="一般" xfId="0" builtinId="0"/>
    <cellStyle name="一般 2" xfId="33" xr:uid="{E3365342-E581-45B2-B776-5743BB791F05}"/>
    <cellStyle name="中等 2" xfId="35" xr:uid="{C3348778-146E-4DD9-A0DC-F7E28E5205F4}"/>
    <cellStyle name="合計" xfId="14" builtinId="25" customBuiltin="1"/>
    <cellStyle name="好" xfId="5" builtinId="26" customBuiltin="1"/>
    <cellStyle name="百分比" xfId="43" builtinId="5"/>
    <cellStyle name="計算方式" xfId="9" builtinId="22" customBuiltin="1"/>
    <cellStyle name="連結的儲存格" xfId="10" builtinId="24" customBuiltin="1"/>
    <cellStyle name="備註 2" xfId="36" xr:uid="{50394CD5-5C1F-42CE-8341-016EF9258D5E}"/>
    <cellStyle name="說明文字" xfId="13" builtinId="53" customBuiltin="1"/>
    <cellStyle name="輔色1" xfId="15" builtinId="29" customBuiltin="1"/>
    <cellStyle name="輔色2" xfId="18" builtinId="33" customBuiltin="1"/>
    <cellStyle name="輔色3" xfId="21" builtinId="37" customBuiltin="1"/>
    <cellStyle name="輔色4" xfId="24" builtinId="41" customBuiltin="1"/>
    <cellStyle name="輔色5" xfId="27" builtinId="45" customBuiltin="1"/>
    <cellStyle name="輔色6" xfId="30" builtinId="49" customBuiltin="1"/>
    <cellStyle name="標題 1" xfId="1" builtinId="16" customBuiltin="1"/>
    <cellStyle name="標題 2" xfId="2" builtinId="17" customBuiltin="1"/>
    <cellStyle name="標題 3" xfId="3" builtinId="18" customBuiltin="1"/>
    <cellStyle name="標題 4" xfId="4" builtinId="19" customBuiltin="1"/>
    <cellStyle name="標題 5" xfId="34" xr:uid="{275E84C5-38CB-44EE-AB7E-D4633B5BA9EC}"/>
    <cellStyle name="輸入" xfId="7" builtinId="20" customBuiltin="1"/>
    <cellStyle name="輸出" xfId="8" builtinId="21" customBuiltin="1"/>
    <cellStyle name="檢查儲存格" xfId="11" builtinId="23" customBuiltin="1"/>
    <cellStyle name="壞" xfId="6" builtinId="27" customBuiltin="1"/>
    <cellStyle name="警告文字" xfId="1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'C值迴歸&amp;汰換後數據'!$A$3:$A$52</c:f>
              <c:numCache>
                <c:formatCode>General</c:formatCode>
                <c:ptCount val="5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</c:numCache>
            </c:numRef>
          </c:xVal>
          <c:yVal>
            <c:numRef>
              <c:f>'原始數據 汰換前'!$G$3:$G$27</c:f>
              <c:numCache>
                <c:formatCode>0.00_ </c:formatCode>
                <c:ptCount val="25"/>
                <c:pt idx="0">
                  <c:v>1.952</c:v>
                </c:pt>
                <c:pt idx="1">
                  <c:v>1.9430000000000001</c:v>
                </c:pt>
                <c:pt idx="2">
                  <c:v>1.9430000000000001</c:v>
                </c:pt>
                <c:pt idx="3">
                  <c:v>1.948</c:v>
                </c:pt>
                <c:pt idx="4">
                  <c:v>1.9490000000000001</c:v>
                </c:pt>
                <c:pt idx="5">
                  <c:v>1.944</c:v>
                </c:pt>
                <c:pt idx="6">
                  <c:v>1.9419999999999999</c:v>
                </c:pt>
                <c:pt idx="7">
                  <c:v>1.9470000000000001</c:v>
                </c:pt>
                <c:pt idx="8">
                  <c:v>1.9470000000000001</c:v>
                </c:pt>
                <c:pt idx="9">
                  <c:v>1.948</c:v>
                </c:pt>
                <c:pt idx="10">
                  <c:v>1.946</c:v>
                </c:pt>
                <c:pt idx="11">
                  <c:v>1.95</c:v>
                </c:pt>
                <c:pt idx="12">
                  <c:v>1.9419999999999999</c:v>
                </c:pt>
                <c:pt idx="13">
                  <c:v>1.9590000000000001</c:v>
                </c:pt>
                <c:pt idx="14">
                  <c:v>1.958</c:v>
                </c:pt>
                <c:pt idx="15">
                  <c:v>1.9550000000000001</c:v>
                </c:pt>
                <c:pt idx="16">
                  <c:v>1.96</c:v>
                </c:pt>
                <c:pt idx="17">
                  <c:v>1.9450000000000001</c:v>
                </c:pt>
                <c:pt idx="18">
                  <c:v>1.962</c:v>
                </c:pt>
                <c:pt idx="19">
                  <c:v>1.9570000000000001</c:v>
                </c:pt>
                <c:pt idx="20">
                  <c:v>1.9590000000000001</c:v>
                </c:pt>
                <c:pt idx="21">
                  <c:v>1.9430000000000001</c:v>
                </c:pt>
                <c:pt idx="22">
                  <c:v>1.958</c:v>
                </c:pt>
                <c:pt idx="23">
                  <c:v>1.9410000000000001</c:v>
                </c:pt>
                <c:pt idx="24">
                  <c:v>1.9430000000000001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FF-4EC9-B0F0-3BAA72917249}"/>
            </c:ext>
          </c:extLst>
        </c:ser>
        <c:ser>
          <c:idx val="1"/>
          <c:order val="1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'C值迴歸&amp;汰換後數據'!$B$55:$B$56</c:f>
              <c:numCache>
                <c:formatCode>General</c:formatCode>
                <c:ptCount val="2"/>
                <c:pt idx="0">
                  <c:v>25.5</c:v>
                </c:pt>
                <c:pt idx="1">
                  <c:v>25.5</c:v>
                </c:pt>
              </c:numCache>
            </c:numRef>
          </c:xVal>
          <c:yVal>
            <c:numRef>
              <c:f>'C值迴歸&amp;汰換後數據'!$C$55:$C$56</c:f>
              <c:numCache>
                <c:formatCode>General</c:formatCode>
                <c:ptCount val="2"/>
                <c:pt idx="0">
                  <c:v>0</c:v>
                </c:pt>
                <c:pt idx="1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FF-4EC9-B0F0-3BAA72917249}"/>
            </c:ext>
          </c:extLst>
        </c:ser>
        <c:ser>
          <c:idx val="2"/>
          <c:order val="2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'C值迴歸&amp;汰換後數據'!$A$28:$A$52</c:f>
              <c:numCache>
                <c:formatCode>General</c:formatCode>
                <c:ptCount val="25"/>
                <c:pt idx="0">
                  <c:v>26</c:v>
                </c:pt>
                <c:pt idx="1">
                  <c:v>27</c:v>
                </c:pt>
                <c:pt idx="2">
                  <c:v>28</c:v>
                </c:pt>
                <c:pt idx="3">
                  <c:v>29</c:v>
                </c:pt>
                <c:pt idx="4">
                  <c:v>30</c:v>
                </c:pt>
                <c:pt idx="5">
                  <c:v>31</c:v>
                </c:pt>
                <c:pt idx="6">
                  <c:v>32</c:v>
                </c:pt>
                <c:pt idx="7">
                  <c:v>33</c:v>
                </c:pt>
                <c:pt idx="8">
                  <c:v>34</c:v>
                </c:pt>
                <c:pt idx="9">
                  <c:v>35</c:v>
                </c:pt>
                <c:pt idx="10">
                  <c:v>36</c:v>
                </c:pt>
                <c:pt idx="11">
                  <c:v>37</c:v>
                </c:pt>
                <c:pt idx="12">
                  <c:v>38</c:v>
                </c:pt>
                <c:pt idx="13">
                  <c:v>39</c:v>
                </c:pt>
                <c:pt idx="14">
                  <c:v>40</c:v>
                </c:pt>
                <c:pt idx="15">
                  <c:v>41</c:v>
                </c:pt>
                <c:pt idx="16">
                  <c:v>42</c:v>
                </c:pt>
                <c:pt idx="17">
                  <c:v>43</c:v>
                </c:pt>
                <c:pt idx="18">
                  <c:v>44</c:v>
                </c:pt>
                <c:pt idx="19">
                  <c:v>45</c:v>
                </c:pt>
                <c:pt idx="20">
                  <c:v>46</c:v>
                </c:pt>
                <c:pt idx="21">
                  <c:v>47</c:v>
                </c:pt>
                <c:pt idx="22">
                  <c:v>48</c:v>
                </c:pt>
                <c:pt idx="23">
                  <c:v>49</c:v>
                </c:pt>
                <c:pt idx="24">
                  <c:v>50</c:v>
                </c:pt>
              </c:numCache>
            </c:numRef>
          </c:xVal>
          <c:yVal>
            <c:numRef>
              <c:f>'C值迴歸&amp;汰換後數據'!$G$3:$G$27</c:f>
              <c:numCache>
                <c:formatCode>0.00_ </c:formatCode>
                <c:ptCount val="25"/>
                <c:pt idx="0">
                  <c:v>1.4510000000000001</c:v>
                </c:pt>
                <c:pt idx="1">
                  <c:v>1.4470000000000001</c:v>
                </c:pt>
                <c:pt idx="2">
                  <c:v>1.458</c:v>
                </c:pt>
                <c:pt idx="3">
                  <c:v>1.458</c:v>
                </c:pt>
                <c:pt idx="4">
                  <c:v>1.468</c:v>
                </c:pt>
                <c:pt idx="5">
                  <c:v>1.4450000000000001</c:v>
                </c:pt>
                <c:pt idx="6">
                  <c:v>1.444</c:v>
                </c:pt>
                <c:pt idx="7">
                  <c:v>1.456</c:v>
                </c:pt>
                <c:pt idx="8">
                  <c:v>1.4390000000000001</c:v>
                </c:pt>
                <c:pt idx="9">
                  <c:v>1.456</c:v>
                </c:pt>
                <c:pt idx="10">
                  <c:v>1.4550000000000001</c:v>
                </c:pt>
                <c:pt idx="11">
                  <c:v>1.4430000000000001</c:v>
                </c:pt>
                <c:pt idx="12">
                  <c:v>1.4650000000000001</c:v>
                </c:pt>
                <c:pt idx="13">
                  <c:v>1.4610000000000001</c:v>
                </c:pt>
                <c:pt idx="14">
                  <c:v>1.46</c:v>
                </c:pt>
                <c:pt idx="15">
                  <c:v>1.4610000000000001</c:v>
                </c:pt>
                <c:pt idx="16">
                  <c:v>1.4530000000000001</c:v>
                </c:pt>
                <c:pt idx="17">
                  <c:v>1.464</c:v>
                </c:pt>
                <c:pt idx="18">
                  <c:v>1.4530000000000001</c:v>
                </c:pt>
                <c:pt idx="19">
                  <c:v>1.464</c:v>
                </c:pt>
                <c:pt idx="20">
                  <c:v>1.4610000000000001</c:v>
                </c:pt>
                <c:pt idx="21">
                  <c:v>1.448</c:v>
                </c:pt>
                <c:pt idx="22">
                  <c:v>1.448</c:v>
                </c:pt>
                <c:pt idx="23">
                  <c:v>1.446</c:v>
                </c:pt>
                <c:pt idx="24">
                  <c:v>1.456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FF-4EC9-B0F0-3BAA729172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7050943"/>
        <c:axId val="637057183"/>
      </c:scatterChart>
      <c:valAx>
        <c:axId val="637050943"/>
        <c:scaling>
          <c:orientation val="minMax"/>
          <c:max val="5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37057183"/>
        <c:crosses val="autoZero"/>
        <c:crossBetween val="midCat"/>
        <c:majorUnit val="2"/>
        <c:minorUnit val="0.5"/>
      </c:valAx>
      <c:valAx>
        <c:axId val="637057183"/>
        <c:scaling>
          <c:orientation val="minMax"/>
          <c:max val="2"/>
          <c:min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6370509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209549</xdr:colOff>
      <xdr:row>30</xdr:row>
      <xdr:rowOff>52387</xdr:rowOff>
    </xdr:from>
    <xdr:to>
      <xdr:col>15</xdr:col>
      <xdr:colOff>224117</xdr:colOff>
      <xdr:row>53</xdr:row>
      <xdr:rowOff>156882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DE947198-F880-2263-6825-F3E7958BCD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1086970</xdr:colOff>
      <xdr:row>34</xdr:row>
      <xdr:rowOff>89649</xdr:rowOff>
    </xdr:from>
    <xdr:to>
      <xdr:col>12</xdr:col>
      <xdr:colOff>0</xdr:colOff>
      <xdr:row>37</xdr:row>
      <xdr:rowOff>67235</xdr:rowOff>
    </xdr:to>
    <xdr:sp macro="" textlink="">
      <xdr:nvSpPr>
        <xdr:cNvPr id="3" name="語音泡泡: 圓角矩形 2">
          <a:extLst>
            <a:ext uri="{FF2B5EF4-FFF2-40B4-BE49-F238E27FC236}">
              <a16:creationId xmlns:a16="http://schemas.microsoft.com/office/drawing/2014/main" id="{A341DB15-CADA-8639-7EF2-2BCDFBB867A2}"/>
            </a:ext>
          </a:extLst>
        </xdr:cNvPr>
        <xdr:cNvSpPr/>
      </xdr:nvSpPr>
      <xdr:spPr>
        <a:xfrm>
          <a:off x="11306735" y="7586384"/>
          <a:ext cx="2386853" cy="616322"/>
        </a:xfrm>
        <a:prstGeom prst="wedgeRoundRectCallout">
          <a:avLst>
            <a:gd name="adj1" fmla="val -24151"/>
            <a:gd name="adj2" fmla="val -82783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TW" sz="2800">
              <a:latin typeface="標楷體" panose="03000509000000000000" pitchFamily="65" charset="-120"/>
              <a:ea typeface="標楷體" panose="03000509000000000000" pitchFamily="65" charset="-120"/>
            </a:rPr>
            <a:t>1.941~1.962</a:t>
          </a:r>
          <a:endParaRPr lang="zh-TW" altLang="en-US" sz="28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13</xdr:col>
      <xdr:colOff>387722</xdr:colOff>
      <xdr:row>34</xdr:row>
      <xdr:rowOff>62754</xdr:rowOff>
    </xdr:from>
    <xdr:to>
      <xdr:col>14</xdr:col>
      <xdr:colOff>1535205</xdr:colOff>
      <xdr:row>40</xdr:row>
      <xdr:rowOff>67235</xdr:rowOff>
    </xdr:to>
    <xdr:sp macro="" textlink="">
      <xdr:nvSpPr>
        <xdr:cNvPr id="4" name="語音泡泡: 圓角矩形 3">
          <a:extLst>
            <a:ext uri="{FF2B5EF4-FFF2-40B4-BE49-F238E27FC236}">
              <a16:creationId xmlns:a16="http://schemas.microsoft.com/office/drawing/2014/main" id="{C54233D6-2D43-4F73-9097-04AAA92961E4}"/>
            </a:ext>
          </a:extLst>
        </xdr:cNvPr>
        <xdr:cNvSpPr/>
      </xdr:nvSpPr>
      <xdr:spPr>
        <a:xfrm>
          <a:off x="12803840" y="7346578"/>
          <a:ext cx="2268071" cy="1281951"/>
        </a:xfrm>
        <a:prstGeom prst="wedgeRoundRectCallout">
          <a:avLst>
            <a:gd name="adj1" fmla="val -26080"/>
            <a:gd name="adj2" fmla="val -72294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TW" sz="2800">
              <a:latin typeface="標楷體" panose="03000509000000000000" pitchFamily="65" charset="-120"/>
              <a:ea typeface="標楷體" panose="03000509000000000000" pitchFamily="65" charset="-120"/>
            </a:rPr>
            <a:t>1.932~1.934</a:t>
          </a:r>
          <a:r>
            <a:rPr lang="zh-TW" altLang="en-US" sz="2800">
              <a:latin typeface="標楷體" panose="03000509000000000000" pitchFamily="65" charset="-120"/>
              <a:ea typeface="標楷體" panose="03000509000000000000" pitchFamily="65" charset="-120"/>
            </a:rPr>
            <a:t>舊泵迴歸值</a:t>
          </a:r>
        </a:p>
      </xdr:txBody>
    </xdr:sp>
    <xdr:clientData/>
  </xdr:twoCellAnchor>
  <xdr:twoCellAnchor>
    <xdr:from>
      <xdr:col>15</xdr:col>
      <xdr:colOff>753037</xdr:colOff>
      <xdr:row>45</xdr:row>
      <xdr:rowOff>24654</xdr:rowOff>
    </xdr:from>
    <xdr:to>
      <xdr:col>17</xdr:col>
      <xdr:colOff>448234</xdr:colOff>
      <xdr:row>50</xdr:row>
      <xdr:rowOff>123265</xdr:rowOff>
    </xdr:to>
    <xdr:sp macro="" textlink="">
      <xdr:nvSpPr>
        <xdr:cNvPr id="5" name="語音泡泡: 圓角矩形 4">
          <a:extLst>
            <a:ext uri="{FF2B5EF4-FFF2-40B4-BE49-F238E27FC236}">
              <a16:creationId xmlns:a16="http://schemas.microsoft.com/office/drawing/2014/main" id="{400BBECD-33A3-486B-8B36-689C991B8D6A}"/>
            </a:ext>
          </a:extLst>
        </xdr:cNvPr>
        <xdr:cNvSpPr/>
      </xdr:nvSpPr>
      <xdr:spPr>
        <a:xfrm>
          <a:off x="19971125" y="9863419"/>
          <a:ext cx="2227727" cy="1163170"/>
        </a:xfrm>
        <a:prstGeom prst="wedgeRoundRectCallout">
          <a:avLst>
            <a:gd name="adj1" fmla="val -94574"/>
            <a:gd name="adj2" fmla="val -37504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TW" sz="2800">
              <a:latin typeface="標楷體" panose="03000509000000000000" pitchFamily="65" charset="-120"/>
              <a:ea typeface="標楷體" panose="03000509000000000000" pitchFamily="65" charset="-120"/>
            </a:rPr>
            <a:t>1.43~1.468</a:t>
          </a:r>
        </a:p>
        <a:p>
          <a:pPr algn="l"/>
          <a:r>
            <a:rPr lang="zh-TW" altLang="en-US" sz="2800">
              <a:latin typeface="標楷體" panose="03000509000000000000" pitchFamily="65" charset="-120"/>
              <a:ea typeface="標楷體" panose="03000509000000000000" pitchFamily="65" charset="-120"/>
            </a:rPr>
            <a:t>新泵量測值</a:t>
          </a:r>
        </a:p>
      </xdr:txBody>
    </xdr:sp>
    <xdr:clientData/>
  </xdr:twoCellAnchor>
  <xdr:twoCellAnchor>
    <xdr:from>
      <xdr:col>9</xdr:col>
      <xdr:colOff>145676</xdr:colOff>
      <xdr:row>30</xdr:row>
      <xdr:rowOff>100852</xdr:rowOff>
    </xdr:from>
    <xdr:to>
      <xdr:col>15</xdr:col>
      <xdr:colOff>437030</xdr:colOff>
      <xdr:row>41</xdr:row>
      <xdr:rowOff>190499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1133CC39-5CF6-FEA2-2FEC-B5095F112353}"/>
            </a:ext>
          </a:extLst>
        </xdr:cNvPr>
        <xdr:cNvSpPr/>
      </xdr:nvSpPr>
      <xdr:spPr>
        <a:xfrm>
          <a:off x="10365441" y="6745940"/>
          <a:ext cx="9289677" cy="2431677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15</xdr:col>
      <xdr:colOff>750794</xdr:colOff>
      <xdr:row>33</xdr:row>
      <xdr:rowOff>2241</xdr:rowOff>
    </xdr:from>
    <xdr:to>
      <xdr:col>20</xdr:col>
      <xdr:colOff>504265</xdr:colOff>
      <xdr:row>39</xdr:row>
      <xdr:rowOff>6723</xdr:rowOff>
    </xdr:to>
    <xdr:sp macro="" textlink="">
      <xdr:nvSpPr>
        <xdr:cNvPr id="7" name="語音泡泡: 圓角矩形 6">
          <a:extLst>
            <a:ext uri="{FF2B5EF4-FFF2-40B4-BE49-F238E27FC236}">
              <a16:creationId xmlns:a16="http://schemas.microsoft.com/office/drawing/2014/main" id="{538FD766-7CBD-4C15-B67C-78E8CB63F06D}"/>
            </a:ext>
          </a:extLst>
        </xdr:cNvPr>
        <xdr:cNvSpPr/>
      </xdr:nvSpPr>
      <xdr:spPr>
        <a:xfrm>
          <a:off x="19968882" y="7286065"/>
          <a:ext cx="4146177" cy="1281952"/>
        </a:xfrm>
        <a:prstGeom prst="wedgeRoundRectCallout">
          <a:avLst>
            <a:gd name="adj1" fmla="val -62527"/>
            <a:gd name="adj2" fmla="val 48336"/>
            <a:gd name="adj3" fmla="val 1666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TW" altLang="en-US" sz="2800">
              <a:latin typeface="標楷體" panose="03000509000000000000" pitchFamily="65" charset="-120"/>
              <a:ea typeface="標楷體" panose="03000509000000000000" pitchFamily="65" charset="-120"/>
            </a:rPr>
            <a:t>使用</a:t>
          </a:r>
          <a:r>
            <a:rPr lang="en-US" altLang="zh-TW" sz="2800">
              <a:latin typeface="標楷體" panose="03000509000000000000" pitchFamily="65" charset="-120"/>
              <a:ea typeface="標楷體" panose="03000509000000000000" pitchFamily="65" charset="-120"/>
            </a:rPr>
            <a:t>C</a:t>
          </a:r>
          <a:r>
            <a:rPr lang="zh-TW" altLang="en-US" sz="2800">
              <a:latin typeface="標楷體" panose="03000509000000000000" pitchFamily="65" charset="-120"/>
              <a:ea typeface="標楷體" panose="03000509000000000000" pitchFamily="65" charset="-120"/>
            </a:rPr>
            <a:t>值回歸計算耗電比會有一點小偏差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9334C-A885-4838-9410-BF73E4B8A27E}">
  <dimension ref="A1:N29"/>
  <sheetViews>
    <sheetView tabSelected="1" topLeftCell="A12" workbookViewId="0">
      <selection activeCell="J47" sqref="J47"/>
    </sheetView>
  </sheetViews>
  <sheetFormatPr defaultRowHeight="15.75" x14ac:dyDescent="0.25"/>
  <cols>
    <col min="2" max="8" width="16" customWidth="1"/>
    <col min="11" max="11" width="9.7109375" bestFit="1" customWidth="1"/>
    <col min="12" max="13" width="12.28515625" customWidth="1"/>
  </cols>
  <sheetData>
    <row r="1" spans="1:14" ht="16.5" thickBot="1" x14ac:dyDescent="0.3">
      <c r="B1" s="45" t="s">
        <v>15</v>
      </c>
      <c r="C1" s="46"/>
      <c r="D1" s="46"/>
      <c r="E1" s="46"/>
      <c r="F1" s="64" t="s">
        <v>45</v>
      </c>
      <c r="G1" s="65"/>
      <c r="H1" s="66"/>
    </row>
    <row r="2" spans="1:14" ht="19.5" x14ac:dyDescent="0.25">
      <c r="A2" s="3" t="s">
        <v>13</v>
      </c>
      <c r="B2" s="4" t="s">
        <v>14</v>
      </c>
      <c r="C2" s="4" t="s">
        <v>11</v>
      </c>
      <c r="D2" s="4" t="s">
        <v>12</v>
      </c>
      <c r="E2" s="23" t="s">
        <v>25</v>
      </c>
      <c r="F2" s="4" t="s">
        <v>23</v>
      </c>
      <c r="G2" s="4" t="s">
        <v>22</v>
      </c>
      <c r="H2" s="4" t="s">
        <v>44</v>
      </c>
      <c r="K2" s="4" t="s">
        <v>26</v>
      </c>
      <c r="L2" s="4" t="s">
        <v>28</v>
      </c>
      <c r="M2" s="4" t="s">
        <v>29</v>
      </c>
      <c r="N2" s="4" t="s">
        <v>30</v>
      </c>
    </row>
    <row r="3" spans="1:14" ht="16.5" x14ac:dyDescent="0.25">
      <c r="A3" s="5">
        <v>1</v>
      </c>
      <c r="B3" s="7">
        <v>1412.07</v>
      </c>
      <c r="C3" s="44">
        <v>53.792758305493265</v>
      </c>
      <c r="D3" s="7">
        <v>404</v>
      </c>
      <c r="E3" s="24">
        <v>1785</v>
      </c>
      <c r="F3" s="44">
        <f>ROUND((1000)*9.81*C3*B3/3600/1000,3)</f>
        <v>206.989</v>
      </c>
      <c r="G3" s="44">
        <f>ROUND(D3/F3,3)</f>
        <v>1.952</v>
      </c>
      <c r="H3" s="44">
        <f>F3/D3*100</f>
        <v>51.234900990099007</v>
      </c>
      <c r="K3" s="44">
        <f>E3*(B3/3600)^0.5/(C3)^0.75</f>
        <v>56.282350026232947</v>
      </c>
      <c r="L3" s="44">
        <f>LN(K3)</f>
        <v>4.0303809873487202</v>
      </c>
      <c r="M3" s="44">
        <f>LN(B3)</f>
        <v>7.2528119918952054</v>
      </c>
      <c r="N3" s="7">
        <f t="shared" ref="N3:N27" si="0" xml:space="preserve"> -11.48*(L3^2) - 0.85*(M3^2) - 0.38*L3*M3 + 88.59*L3 + 13.46*M3 - H3</f>
        <v>161.13781828855093</v>
      </c>
    </row>
    <row r="4" spans="1:14" ht="16.5" x14ac:dyDescent="0.25">
      <c r="A4" s="5">
        <v>2</v>
      </c>
      <c r="B4" s="7">
        <v>1417.19</v>
      </c>
      <c r="C4" s="44">
        <v>53.795613115727534</v>
      </c>
      <c r="D4" s="7">
        <v>403.75</v>
      </c>
      <c r="E4" s="24">
        <v>1785</v>
      </c>
      <c r="F4" s="44">
        <f>ROUND((1000)*9.81*C4*B4/3600/1000,3)</f>
        <v>207.75</v>
      </c>
      <c r="G4" s="44">
        <f>ROUND(D4/F4,3)</f>
        <v>1.9430000000000001</v>
      </c>
      <c r="H4" s="44">
        <f>F4/D4*100</f>
        <v>51.455108359133128</v>
      </c>
      <c r="K4" s="44">
        <f>E4*(B4/3600)^0.5/(C4)^0.75</f>
        <v>56.382050142219292</v>
      </c>
      <c r="L4" s="44">
        <f t="shared" ref="L4:L27" si="1">LN(K4)</f>
        <v>4.0321508479588575</v>
      </c>
      <c r="M4" s="44">
        <f t="shared" ref="M4:M27" si="2">LN(B4)</f>
        <v>7.2564313167993317</v>
      </c>
      <c r="N4" s="7">
        <f t="shared" si="0"/>
        <v>160.9042443986352</v>
      </c>
    </row>
    <row r="5" spans="1:14" ht="16.5" x14ac:dyDescent="0.25">
      <c r="A5" s="5">
        <v>3</v>
      </c>
      <c r="B5" s="7">
        <v>1416.9</v>
      </c>
      <c r="C5" s="44">
        <v>53.795452786447861</v>
      </c>
      <c r="D5" s="7">
        <v>403.54999999999995</v>
      </c>
      <c r="E5" s="24">
        <v>1785</v>
      </c>
      <c r="F5" s="44">
        <f>ROUND((1000)*9.81*C5*B5/3600/1000,3)</f>
        <v>207.70699999999999</v>
      </c>
      <c r="G5" s="44">
        <f>ROUND(D5/F5,3)</f>
        <v>1.9430000000000001</v>
      </c>
      <c r="H5" s="44">
        <f>F5/D5*100</f>
        <v>51.469954156857888</v>
      </c>
      <c r="K5" s="44">
        <f>E5*(B5/3600)^0.5/(C5)^0.75</f>
        <v>56.376407125194049</v>
      </c>
      <c r="L5" s="44">
        <f t="shared" si="1"/>
        <v>4.0320507576034785</v>
      </c>
      <c r="M5" s="44">
        <f t="shared" si="2"/>
        <v>7.256226665570181</v>
      </c>
      <c r="N5" s="7">
        <f t="shared" si="0"/>
        <v>160.89015714327391</v>
      </c>
    </row>
    <row r="6" spans="1:14" ht="16.5" x14ac:dyDescent="0.25">
      <c r="A6" s="5">
        <v>4</v>
      </c>
      <c r="B6" s="7">
        <v>1412.98</v>
      </c>
      <c r="C6" s="44">
        <v>53.793264301118995</v>
      </c>
      <c r="D6" s="7">
        <v>403.56</v>
      </c>
      <c r="E6" s="24">
        <v>1785</v>
      </c>
      <c r="F6" s="44">
        <f>ROUND((1000)*9.81*C6*B6/3600/1000,3)</f>
        <v>207.124</v>
      </c>
      <c r="G6" s="44">
        <f>ROUND(D6/F6,3)</f>
        <v>1.948</v>
      </c>
      <c r="H6" s="44">
        <f>F6/D6*100</f>
        <v>51.324214491029828</v>
      </c>
      <c r="K6" s="44">
        <f>E6*(B6/3600)^0.5/(C6)^0.75</f>
        <v>56.300085331048493</v>
      </c>
      <c r="L6" s="44">
        <f t="shared" si="1"/>
        <v>4.0306960507936704</v>
      </c>
      <c r="M6" s="44">
        <f t="shared" si="2"/>
        <v>7.2534562283026842</v>
      </c>
      <c r="N6" s="7">
        <f t="shared" si="0"/>
        <v>161.04613260550397</v>
      </c>
    </row>
    <row r="7" spans="1:14" ht="16.5" x14ac:dyDescent="0.25">
      <c r="A7" s="5">
        <v>5</v>
      </c>
      <c r="B7" s="7">
        <v>1413.02</v>
      </c>
      <c r="C7" s="44">
        <v>53.79328678995148</v>
      </c>
      <c r="D7" s="7">
        <v>403.65</v>
      </c>
      <c r="E7" s="24">
        <v>1785</v>
      </c>
      <c r="F7" s="44">
        <f>ROUND((1000)*9.81*C7*B7/3600/1000,3)</f>
        <v>207.13</v>
      </c>
      <c r="G7" s="44">
        <f>ROUND(D7/F7,3)</f>
        <v>1.9490000000000001</v>
      </c>
      <c r="H7" s="44">
        <f>F7/D7*100</f>
        <v>51.314257401213922</v>
      </c>
      <c r="K7" s="44">
        <f>E7*(B7/3600)^0.5/(C7)^0.75</f>
        <v>56.300864571084418</v>
      </c>
      <c r="L7" s="44">
        <f t="shared" si="1"/>
        <v>4.0307098915301225</v>
      </c>
      <c r="M7" s="44">
        <f t="shared" si="2"/>
        <v>7.2534845368660266</v>
      </c>
      <c r="N7" s="7">
        <f t="shared" si="0"/>
        <v>161.05598541046618</v>
      </c>
    </row>
    <row r="8" spans="1:14" ht="16.5" x14ac:dyDescent="0.25">
      <c r="A8" s="5">
        <v>6</v>
      </c>
      <c r="B8" s="7">
        <v>1411.29</v>
      </c>
      <c r="C8" s="44">
        <v>53.892325021006201</v>
      </c>
      <c r="D8" s="7">
        <v>402.88</v>
      </c>
      <c r="E8" s="24">
        <v>1785</v>
      </c>
      <c r="F8" s="44">
        <f>ROUND((1000)*9.81*C8*B8/3600/1000,3)</f>
        <v>207.25700000000001</v>
      </c>
      <c r="G8" s="44">
        <f>ROUND(D8/F8,3)</f>
        <v>1.944</v>
      </c>
      <c r="H8" s="44">
        <f>F8/D8*100</f>
        <v>51.443854249404289</v>
      </c>
      <c r="K8" s="44">
        <f>E8*(B8/3600)^0.5/(C8)^0.75</f>
        <v>56.188820027921871</v>
      </c>
      <c r="L8" s="44">
        <f t="shared" si="1"/>
        <v>4.0287178052225618</v>
      </c>
      <c r="M8" s="44">
        <f t="shared" si="2"/>
        <v>7.2522594587291591</v>
      </c>
      <c r="N8" s="7">
        <f t="shared" si="0"/>
        <v>160.94020374467203</v>
      </c>
    </row>
    <row r="9" spans="1:14" ht="16.5" x14ac:dyDescent="0.25">
      <c r="A9" s="5">
        <v>7</v>
      </c>
      <c r="B9" s="7">
        <v>1415.37</v>
      </c>
      <c r="C9" s="44">
        <v>53.894598877691379</v>
      </c>
      <c r="D9" s="7">
        <v>403.63</v>
      </c>
      <c r="E9" s="24">
        <v>1785</v>
      </c>
      <c r="F9" s="44">
        <f>ROUND((1000)*9.81*C9*B9/3600/1000,3)</f>
        <v>207.86500000000001</v>
      </c>
      <c r="G9" s="44">
        <f>ROUND(D9/F9,3)</f>
        <v>1.9419999999999999</v>
      </c>
      <c r="H9" s="44">
        <f>F9/D9*100</f>
        <v>51.498897505140853</v>
      </c>
      <c r="K9" s="44">
        <f>E9*(B9/3600)^0.5/(C9)^0.75</f>
        <v>56.268201000146796</v>
      </c>
      <c r="L9" s="44">
        <f t="shared" si="1"/>
        <v>4.0301295620819104</v>
      </c>
      <c r="M9" s="44">
        <f t="shared" si="2"/>
        <v>7.2551462599952696</v>
      </c>
      <c r="N9" s="7">
        <f t="shared" si="0"/>
        <v>160.87456529726401</v>
      </c>
    </row>
    <row r="10" spans="1:14" ht="16.5" x14ac:dyDescent="0.25">
      <c r="A10" s="5">
        <v>8</v>
      </c>
      <c r="B10" s="7">
        <v>1411.7</v>
      </c>
      <c r="C10" s="44">
        <v>53.892552172180622</v>
      </c>
      <c r="D10" s="7">
        <v>403.6</v>
      </c>
      <c r="E10" s="24">
        <v>1785</v>
      </c>
      <c r="F10" s="44">
        <f>ROUND((1000)*9.81*C10*B10/3600/1000,3)</f>
        <v>207.31800000000001</v>
      </c>
      <c r="G10" s="44">
        <f>ROUND(D10/F10,3)</f>
        <v>1.9470000000000001</v>
      </c>
      <c r="H10" s="44">
        <f>F10/D10*100</f>
        <v>51.367195242814667</v>
      </c>
      <c r="K10" s="44">
        <f>E10*(B10/3600)^0.5/(C10)^0.75</f>
        <v>56.196803616388536</v>
      </c>
      <c r="L10" s="44">
        <f t="shared" si="1"/>
        <v>4.0288598801289632</v>
      </c>
      <c r="M10" s="44">
        <f t="shared" si="2"/>
        <v>7.2525499308901535</v>
      </c>
      <c r="N10" s="7">
        <f t="shared" si="0"/>
        <v>161.01579935434833</v>
      </c>
    </row>
    <row r="11" spans="1:14" ht="16.5" x14ac:dyDescent="0.25">
      <c r="A11" s="5">
        <v>9</v>
      </c>
      <c r="B11" s="7">
        <v>1412.9</v>
      </c>
      <c r="C11" s="44">
        <v>53.893220382951235</v>
      </c>
      <c r="D11" s="7">
        <v>404.03999999999996</v>
      </c>
      <c r="E11" s="24">
        <v>1785</v>
      </c>
      <c r="F11" s="44">
        <f>ROUND((1000)*9.81*C11*B11/3600/1000,3)</f>
        <v>207.49700000000001</v>
      </c>
      <c r="G11" s="44">
        <f>ROUND(D11/F11,3)</f>
        <v>1.9470000000000001</v>
      </c>
      <c r="H11" s="44">
        <f>F11/D11*100</f>
        <v>51.355558855558861</v>
      </c>
      <c r="K11" s="44">
        <f>E11*(B11/3600)^0.5/(C11)^0.75</f>
        <v>56.220160476877062</v>
      </c>
      <c r="L11" s="44">
        <f t="shared" si="1"/>
        <v>4.0292754199189416</v>
      </c>
      <c r="M11" s="44">
        <f t="shared" si="2"/>
        <v>7.2533996087717618</v>
      </c>
      <c r="N11" s="7">
        <f t="shared" si="0"/>
        <v>161.02432181879448</v>
      </c>
    </row>
    <row r="12" spans="1:14" ht="16.5" x14ac:dyDescent="0.25">
      <c r="A12" s="5">
        <v>10</v>
      </c>
      <c r="B12" s="7">
        <v>1409.6</v>
      </c>
      <c r="C12" s="44">
        <v>53.891384253951507</v>
      </c>
      <c r="D12" s="7">
        <v>403.15999999999997</v>
      </c>
      <c r="E12" s="24">
        <v>1785</v>
      </c>
      <c r="F12" s="44">
        <f>ROUND((1000)*9.81*C12*B12/3600/1000,3)</f>
        <v>207.005</v>
      </c>
      <c r="G12" s="44">
        <f>ROUND(D12/F12,3)</f>
        <v>1.948</v>
      </c>
      <c r="H12" s="44">
        <f>F12/D12*100</f>
        <v>51.345619605119566</v>
      </c>
      <c r="K12" s="44">
        <f>E12*(B12/3600)^0.5/(C12)^0.75</f>
        <v>56.155902500264574</v>
      </c>
      <c r="L12" s="44">
        <f t="shared" si="1"/>
        <v>4.0281317958781342</v>
      </c>
      <c r="M12" s="44">
        <f t="shared" si="2"/>
        <v>7.2510612551819147</v>
      </c>
      <c r="N12" s="7">
        <f t="shared" si="0"/>
        <v>161.04281782681522</v>
      </c>
    </row>
    <row r="13" spans="1:14" ht="16.5" x14ac:dyDescent="0.25">
      <c r="A13" s="5">
        <v>11</v>
      </c>
      <c r="B13" s="7">
        <v>1412.29</v>
      </c>
      <c r="C13" s="44">
        <v>53.892879140558982</v>
      </c>
      <c r="D13" s="7">
        <v>403.7</v>
      </c>
      <c r="E13" s="24">
        <v>1785</v>
      </c>
      <c r="F13" s="44">
        <f>ROUND((1000)*9.81*C13*B13/3600/1000,3)</f>
        <v>207.40600000000001</v>
      </c>
      <c r="G13" s="44">
        <f>ROUND(D13/F13,3)</f>
        <v>1.946</v>
      </c>
      <c r="H13" s="44">
        <f>F13/D13*100</f>
        <v>51.376269507059703</v>
      </c>
      <c r="K13" s="44">
        <f>E13*(B13/3600)^0.5/(C13)^0.75</f>
        <v>56.208289954965046</v>
      </c>
      <c r="L13" s="44">
        <f t="shared" si="1"/>
        <v>4.0290642541168591</v>
      </c>
      <c r="M13" s="44">
        <f t="shared" si="2"/>
        <v>7.2529677794013629</v>
      </c>
      <c r="N13" s="7">
        <f t="shared" si="0"/>
        <v>161.00519427759224</v>
      </c>
    </row>
    <row r="14" spans="1:14" ht="16.5" x14ac:dyDescent="0.25">
      <c r="A14" s="5">
        <v>12</v>
      </c>
      <c r="B14" s="7">
        <v>1410.35</v>
      </c>
      <c r="C14" s="44">
        <v>53.891803961790949</v>
      </c>
      <c r="D14" s="7">
        <v>403.85</v>
      </c>
      <c r="E14" s="24">
        <v>1785</v>
      </c>
      <c r="F14" s="44">
        <f>ROUND((1000)*9.81*C14*B14/3600/1000,3)</f>
        <v>207.11699999999999</v>
      </c>
      <c r="G14" s="44">
        <f>ROUND(D14/F14,3)</f>
        <v>1.95</v>
      </c>
      <c r="H14" s="44">
        <f>F14/D14*100</f>
        <v>51.28562585118236</v>
      </c>
      <c r="K14" s="44">
        <f>E14*(B14/3600)^0.5/(C14)^0.75</f>
        <v>56.170511739175581</v>
      </c>
      <c r="L14" s="44">
        <f t="shared" si="1"/>
        <v>4.0283919170454006</v>
      </c>
      <c r="M14" s="44">
        <f t="shared" si="2"/>
        <v>7.2515931795193564</v>
      </c>
      <c r="N14" s="7">
        <f t="shared" si="0"/>
        <v>161.10086892771102</v>
      </c>
    </row>
    <row r="15" spans="1:14" ht="16.5" x14ac:dyDescent="0.25">
      <c r="A15" s="5">
        <v>13</v>
      </c>
      <c r="B15" s="7">
        <v>1416.8</v>
      </c>
      <c r="C15" s="44">
        <v>53.795394010908062</v>
      </c>
      <c r="D15" s="7">
        <v>403.38</v>
      </c>
      <c r="E15" s="24">
        <v>1785</v>
      </c>
      <c r="F15" s="44">
        <f>ROUND((1000)*9.81*C15*B15/3600/1000,3)</f>
        <v>207.69200000000001</v>
      </c>
      <c r="G15" s="44">
        <f>ROUND(D15/F15,3)</f>
        <v>1.9419999999999999</v>
      </c>
      <c r="H15" s="44">
        <f>F15/D15*100</f>
        <v>51.487927016708809</v>
      </c>
      <c r="K15" s="44">
        <f>E15*(B15/3600)^0.5/(C15)^0.75</f>
        <v>56.374463857198357</v>
      </c>
      <c r="L15" s="44">
        <f t="shared" si="1"/>
        <v>4.0320162874840202</v>
      </c>
      <c r="M15" s="44">
        <f t="shared" si="2"/>
        <v>7.2561560864686241</v>
      </c>
      <c r="N15" s="7">
        <f t="shared" si="0"/>
        <v>160.87244548497006</v>
      </c>
    </row>
    <row r="16" spans="1:14" ht="16.5" x14ac:dyDescent="0.25">
      <c r="A16" s="5">
        <v>14</v>
      </c>
      <c r="B16" s="7">
        <v>1410.66</v>
      </c>
      <c r="C16" s="44">
        <v>53.591974664334423</v>
      </c>
      <c r="D16" s="7">
        <v>403.53999999999996</v>
      </c>
      <c r="E16" s="24">
        <v>1785</v>
      </c>
      <c r="F16" s="44">
        <f>ROUND((1000)*9.81*C16*B16/3600/1000,3)</f>
        <v>206.01</v>
      </c>
      <c r="G16" s="44">
        <f>ROUND(D16/F16,3)</f>
        <v>1.9590000000000001</v>
      </c>
      <c r="H16" s="44">
        <f>F16/D16*100</f>
        <v>51.050701293552066</v>
      </c>
      <c r="K16" s="44">
        <f>E16*(B16/3600)^0.5/(C16)^0.75</f>
        <v>56.41223759661208</v>
      </c>
      <c r="L16" s="44">
        <f t="shared" si="1"/>
        <v>4.0326861136308825</v>
      </c>
      <c r="M16" s="44">
        <f t="shared" si="2"/>
        <v>7.2518129589609384</v>
      </c>
      <c r="N16" s="7">
        <f t="shared" si="0"/>
        <v>161.30690526719712</v>
      </c>
    </row>
    <row r="17" spans="1:14" ht="16.5" x14ac:dyDescent="0.25">
      <c r="A17" s="5">
        <v>15</v>
      </c>
      <c r="B17" s="7">
        <v>1413.02</v>
      </c>
      <c r="C17" s="44">
        <v>53.593286066290908</v>
      </c>
      <c r="D17" s="7">
        <v>404</v>
      </c>
      <c r="E17" s="24">
        <v>1785</v>
      </c>
      <c r="F17" s="44">
        <f>ROUND((1000)*9.81*C17*B17/3600/1000,3)</f>
        <v>206.36</v>
      </c>
      <c r="G17" s="44">
        <f>ROUND(D17/F17,3)</f>
        <v>1.958</v>
      </c>
      <c r="H17" s="44">
        <f>F17/D17*100</f>
        <v>51.079207920792079</v>
      </c>
      <c r="K17" s="44">
        <f>E17*(B17/3600)^0.5/(C17)^0.75</f>
        <v>56.45836987619542</v>
      </c>
      <c r="L17" s="44">
        <f t="shared" si="1"/>
        <v>4.033503550219292</v>
      </c>
      <c r="M17" s="44">
        <f t="shared" si="2"/>
        <v>7.2534845368660266</v>
      </c>
      <c r="N17" s="7">
        <f t="shared" si="0"/>
        <v>161.27219586906349</v>
      </c>
    </row>
    <row r="18" spans="1:14" ht="16.5" x14ac:dyDescent="0.25">
      <c r="A18" s="5">
        <v>16</v>
      </c>
      <c r="B18" s="7">
        <v>1413.72</v>
      </c>
      <c r="C18" s="44">
        <v>53.593679056253869</v>
      </c>
      <c r="D18" s="7">
        <v>403.57</v>
      </c>
      <c r="E18" s="24">
        <v>1785</v>
      </c>
      <c r="F18" s="44">
        <f>ROUND((1000)*9.81*C18*B18/3600/1000,3)</f>
        <v>206.464</v>
      </c>
      <c r="G18" s="44">
        <f>ROUND(D18/F18,3)</f>
        <v>1.9550000000000001</v>
      </c>
      <c r="H18" s="44">
        <f>F18/D18*100</f>
        <v>51.159402334167559</v>
      </c>
      <c r="K18" s="44">
        <f>E18*(B18/3600)^0.5/(C18)^0.75</f>
        <v>56.472042106706937</v>
      </c>
      <c r="L18" s="44">
        <f t="shared" si="1"/>
        <v>4.0337456857138543</v>
      </c>
      <c r="M18" s="44">
        <f t="shared" si="2"/>
        <v>7.2539798070460284</v>
      </c>
      <c r="N18" s="7">
        <f t="shared" si="0"/>
        <v>161.19016000529939</v>
      </c>
    </row>
    <row r="19" spans="1:14" ht="16.5" x14ac:dyDescent="0.25">
      <c r="A19" s="5">
        <v>17</v>
      </c>
      <c r="B19" s="7">
        <v>1411.54</v>
      </c>
      <c r="C19" s="44">
        <v>53.59246308327279</v>
      </c>
      <c r="D19" s="7">
        <v>404.13</v>
      </c>
      <c r="E19" s="24">
        <v>1785</v>
      </c>
      <c r="F19" s="44">
        <f>ROUND((1000)*9.81*C19*B19/3600/1000,3)</f>
        <v>206.14099999999999</v>
      </c>
      <c r="G19" s="44">
        <f>ROUND(D19/F19,3)</f>
        <v>1.96</v>
      </c>
      <c r="H19" s="44">
        <f>F19/D19*100</f>
        <v>51.008586345977783</v>
      </c>
      <c r="K19" s="44">
        <f>E19*(B19/3600)^0.5/(C19)^0.75</f>
        <v>56.429444727372847</v>
      </c>
      <c r="L19" s="44">
        <f t="shared" si="1"/>
        <v>4.0329910919073448</v>
      </c>
      <c r="M19" s="44">
        <f t="shared" si="2"/>
        <v>7.2524365859388418</v>
      </c>
      <c r="N19" s="7">
        <f t="shared" si="0"/>
        <v>161.34670849715684</v>
      </c>
    </row>
    <row r="20" spans="1:14" ht="16.5" x14ac:dyDescent="0.25">
      <c r="A20" s="5">
        <v>18</v>
      </c>
      <c r="B20" s="7">
        <v>1421.3</v>
      </c>
      <c r="C20" s="44">
        <v>53.597911529300006</v>
      </c>
      <c r="D20" s="7">
        <v>403.74</v>
      </c>
      <c r="E20" s="24">
        <v>1785</v>
      </c>
      <c r="F20" s="44">
        <f>ROUND((1000)*9.81*C20*B20/3600/1000,3)</f>
        <v>207.58699999999999</v>
      </c>
      <c r="G20" s="44">
        <f>ROUND(D20/F20,3)</f>
        <v>1.9450000000000001</v>
      </c>
      <c r="H20" s="44">
        <f>F20/D20*100</f>
        <v>51.416010303660762</v>
      </c>
      <c r="K20" s="44">
        <f>E20*(B20/3600)^0.5/(C20)^0.75</f>
        <v>56.619880373182923</v>
      </c>
      <c r="L20" s="44">
        <f t="shared" si="1"/>
        <v>4.0363601668800895</v>
      </c>
      <c r="M20" s="44">
        <f t="shared" si="2"/>
        <v>7.2593272247449665</v>
      </c>
      <c r="N20" s="7">
        <f t="shared" si="0"/>
        <v>160.91355082342989</v>
      </c>
    </row>
    <row r="21" spans="1:14" ht="16.5" x14ac:dyDescent="0.25">
      <c r="A21" s="5">
        <v>19</v>
      </c>
      <c r="B21" s="7">
        <v>1409.21</v>
      </c>
      <c r="C21" s="44">
        <v>53.591172208202259</v>
      </c>
      <c r="D21" s="7">
        <v>403.68</v>
      </c>
      <c r="E21" s="24">
        <v>1785</v>
      </c>
      <c r="F21" s="44">
        <f>ROUND((1000)*9.81*C21*B21/3600/1000,3)</f>
        <v>205.79499999999999</v>
      </c>
      <c r="G21" s="44">
        <f>ROUND(D21/F21,3)</f>
        <v>1.962</v>
      </c>
      <c r="H21" s="44">
        <f>F21/D21*100</f>
        <v>50.979736424891001</v>
      </c>
      <c r="K21" s="44">
        <f>E21*(B21/3600)^0.5/(C21)^0.75</f>
        <v>56.383870617641179</v>
      </c>
      <c r="L21" s="44">
        <f t="shared" si="1"/>
        <v>4.0321831356466591</v>
      </c>
      <c r="M21" s="44">
        <f t="shared" si="2"/>
        <v>7.2507845426667128</v>
      </c>
      <c r="N21" s="7">
        <f t="shared" si="0"/>
        <v>161.38167622036045</v>
      </c>
    </row>
    <row r="22" spans="1:14" ht="16.5" x14ac:dyDescent="0.25">
      <c r="A22" s="5">
        <v>20</v>
      </c>
      <c r="B22" s="7">
        <v>1409.67</v>
      </c>
      <c r="C22" s="44">
        <v>53.691423626715626</v>
      </c>
      <c r="D22" s="7">
        <v>403.73</v>
      </c>
      <c r="E22" s="24">
        <v>1785</v>
      </c>
      <c r="F22" s="44">
        <f>ROUND((1000)*9.81*C22*B22/3600/1000,3)</f>
        <v>206.24799999999999</v>
      </c>
      <c r="G22" s="44">
        <f>ROUND(D22/F22,3)</f>
        <v>1.9570000000000001</v>
      </c>
      <c r="H22" s="44">
        <f>F22/D22*100</f>
        <v>51.085626532583653</v>
      </c>
      <c r="K22" s="44">
        <f>E22*(B22/3600)^0.5/(C22)^0.75</f>
        <v>56.31408203835764</v>
      </c>
      <c r="L22" s="44">
        <f t="shared" si="1"/>
        <v>4.0309446288848321</v>
      </c>
      <c r="M22" s="44">
        <f t="shared" si="2"/>
        <v>7.2511109134267899</v>
      </c>
      <c r="N22" s="7">
        <f t="shared" si="0"/>
        <v>161.28399125284656</v>
      </c>
    </row>
    <row r="23" spans="1:14" ht="16.5" x14ac:dyDescent="0.25">
      <c r="A23" s="5">
        <v>21</v>
      </c>
      <c r="B23" s="7">
        <v>1409.01</v>
      </c>
      <c r="C23" s="44">
        <v>53.691060628254661</v>
      </c>
      <c r="D23" s="7">
        <v>403.76</v>
      </c>
      <c r="E23" s="24">
        <v>1785</v>
      </c>
      <c r="F23" s="44">
        <f>ROUND((1000)*9.81*C23*B23/3600/1000,3)</f>
        <v>206.15</v>
      </c>
      <c r="G23" s="44">
        <f>ROUND(D23/F23,3)</f>
        <v>1.9590000000000001</v>
      </c>
      <c r="H23" s="44">
        <f>F23/D23*100</f>
        <v>51.057558945908468</v>
      </c>
      <c r="K23" s="44">
        <f>E23*(B23/3600)^0.5/(C23)^0.75</f>
        <v>56.301183000214877</v>
      </c>
      <c r="L23" s="44">
        <f t="shared" si="1"/>
        <v>4.0307155473620959</v>
      </c>
      <c r="M23" s="44">
        <f t="shared" si="2"/>
        <v>7.2506426091055749</v>
      </c>
      <c r="N23" s="7">
        <f t="shared" si="0"/>
        <v>161.31378318932252</v>
      </c>
    </row>
    <row r="24" spans="1:14" ht="16.5" x14ac:dyDescent="0.25">
      <c r="A24" s="5">
        <v>22</v>
      </c>
      <c r="B24" s="7">
        <v>1420.86</v>
      </c>
      <c r="C24" s="44">
        <v>53.697664920288538</v>
      </c>
      <c r="D24" s="7">
        <v>403.90999999999997</v>
      </c>
      <c r="E24" s="24">
        <v>1785</v>
      </c>
      <c r="F24" s="44">
        <f>ROUND((1000)*9.81*C24*B24/3600/1000,3)</f>
        <v>207.90899999999999</v>
      </c>
      <c r="G24" s="44">
        <f>ROUND(D24/F24,3)</f>
        <v>1.9430000000000001</v>
      </c>
      <c r="H24" s="44">
        <f>F24/D24*100</f>
        <v>51.474090762793686</v>
      </c>
      <c r="K24" s="44">
        <f>E24*(B24/3600)^0.5/(C24)^0.75</f>
        <v>56.532223044157583</v>
      </c>
      <c r="L24" s="44">
        <f t="shared" si="1"/>
        <v>4.0348107949477354</v>
      </c>
      <c r="M24" s="44">
        <f t="shared" si="2"/>
        <v>7.2590176010759855</v>
      </c>
      <c r="N24" s="7">
        <f t="shared" si="0"/>
        <v>160.86617386603618</v>
      </c>
    </row>
    <row r="25" spans="1:14" ht="16.5" x14ac:dyDescent="0.25">
      <c r="A25" s="5">
        <v>23</v>
      </c>
      <c r="B25" s="7">
        <v>1410.56</v>
      </c>
      <c r="C25" s="44">
        <v>53.691918481756304</v>
      </c>
      <c r="D25" s="7">
        <v>404.18</v>
      </c>
      <c r="E25" s="24">
        <v>1785</v>
      </c>
      <c r="F25" s="44">
        <f>ROUND((1000)*9.81*C25*B25/3600/1000,3)</f>
        <v>206.38</v>
      </c>
      <c r="G25" s="44">
        <f>ROUND(D25/F25,3)</f>
        <v>1.958</v>
      </c>
      <c r="H25" s="44">
        <f>F25/D25*100</f>
        <v>51.06140828343807</v>
      </c>
      <c r="K25" s="44">
        <f>E25*(B25/3600)^0.5/(C25)^0.75</f>
        <v>56.331466887878719</v>
      </c>
      <c r="L25" s="44">
        <f t="shared" si="1"/>
        <v>4.0312532935382484</v>
      </c>
      <c r="M25" s="44">
        <f t="shared" si="2"/>
        <v>7.2517420676443853</v>
      </c>
      <c r="N25" s="7">
        <f t="shared" si="0"/>
        <v>161.30588342327019</v>
      </c>
    </row>
    <row r="26" spans="1:14" ht="16.5" x14ac:dyDescent="0.25">
      <c r="A26" s="5">
        <v>24</v>
      </c>
      <c r="B26" s="7">
        <v>1421.19</v>
      </c>
      <c r="C26" s="44">
        <v>53.697847644351889</v>
      </c>
      <c r="D26" s="7">
        <v>403.7</v>
      </c>
      <c r="E26" s="24">
        <v>1785</v>
      </c>
      <c r="F26" s="44">
        <f>ROUND((1000)*9.81*C26*B26/3600/1000,3)</f>
        <v>207.958</v>
      </c>
      <c r="G26" s="44">
        <f>ROUND(D26/F26,3)</f>
        <v>1.9410000000000001</v>
      </c>
      <c r="H26" s="44">
        <f>F26/D26*100</f>
        <v>51.513004706465196</v>
      </c>
      <c r="K26" s="44">
        <f>E26*(B26/3600)^0.5/(C26)^0.75</f>
        <v>56.538643278649424</v>
      </c>
      <c r="L26" s="44">
        <f t="shared" si="1"/>
        <v>4.0349243561984363</v>
      </c>
      <c r="M26" s="44">
        <f t="shared" si="2"/>
        <v>7.259249827814771</v>
      </c>
      <c r="N26" s="7">
        <f t="shared" si="0"/>
        <v>160.82639059028077</v>
      </c>
    </row>
    <row r="27" spans="1:14" ht="17.25" thickBot="1" x14ac:dyDescent="0.3">
      <c r="A27" s="6">
        <v>25</v>
      </c>
      <c r="B27" s="8">
        <v>1420.14</v>
      </c>
      <c r="C27" s="67">
        <v>53.697262952002212</v>
      </c>
      <c r="D27" s="8">
        <v>403.82</v>
      </c>
      <c r="E27" s="24">
        <v>1785</v>
      </c>
      <c r="F27" s="44">
        <f>ROUND((1000)*9.81*C27*B27/3600/1000,3)</f>
        <v>207.80199999999999</v>
      </c>
      <c r="G27" s="44">
        <f>ROUND(D27/F27,3)</f>
        <v>1.9430000000000001</v>
      </c>
      <c r="H27" s="44">
        <f>F27/D27*100</f>
        <v>51.459065920459615</v>
      </c>
      <c r="K27" s="44">
        <f>E27*(B27/3600)^0.5/(C27)^0.75</f>
        <v>56.518215103024289</v>
      </c>
      <c r="L27" s="44">
        <f t="shared" si="1"/>
        <v>4.0345629773994878</v>
      </c>
      <c r="M27" s="44">
        <f t="shared" si="2"/>
        <v>7.2585107372847748</v>
      </c>
      <c r="N27" s="7">
        <f t="shared" si="0"/>
        <v>160.88309441802116</v>
      </c>
    </row>
    <row r="28" spans="1:14" x14ac:dyDescent="0.25">
      <c r="B28" s="1"/>
      <c r="C28" s="1"/>
      <c r="D28" s="1"/>
      <c r="E28" s="1"/>
      <c r="F28" s="1"/>
      <c r="H28" s="1"/>
    </row>
    <row r="29" spans="1:14" ht="16.5" x14ac:dyDescent="0.25">
      <c r="N29" s="37">
        <f>AVERAGE(N3:N27)</f>
        <v>161.07204272003531</v>
      </c>
    </row>
  </sheetData>
  <mergeCells count="2">
    <mergeCell ref="B1:E1"/>
    <mergeCell ref="F1:H1"/>
  </mergeCells>
  <phoneticPr fontId="3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9D17A-225E-4F2F-840E-AD09FBA826F1}">
  <dimension ref="A1:S56"/>
  <sheetViews>
    <sheetView zoomScale="85" zoomScaleNormal="85" workbookViewId="0">
      <selection activeCell="P43" sqref="P43"/>
    </sheetView>
  </sheetViews>
  <sheetFormatPr defaultRowHeight="15.75" x14ac:dyDescent="0.25"/>
  <cols>
    <col min="2" max="5" width="16" customWidth="1"/>
    <col min="6" max="6" width="11" bestFit="1" customWidth="1"/>
    <col min="7" max="7" width="9.28515625" bestFit="1" customWidth="1"/>
    <col min="8" max="8" width="16.85546875" bestFit="1" customWidth="1"/>
    <col min="10" max="14" width="16.85546875" bestFit="1" customWidth="1"/>
    <col min="15" max="15" width="23.7109375" customWidth="1"/>
    <col min="16" max="16" width="25.5703125" bestFit="1" customWidth="1"/>
    <col min="17" max="17" width="12.42578125" customWidth="1"/>
    <col min="19" max="19" width="9.7109375" bestFit="1" customWidth="1"/>
  </cols>
  <sheetData>
    <row r="1" spans="1:19" ht="16.5" thickBot="1" x14ac:dyDescent="0.3">
      <c r="B1" s="45" t="s">
        <v>46</v>
      </c>
      <c r="C1" s="46"/>
      <c r="D1" s="46"/>
      <c r="E1" s="47"/>
      <c r="F1" s="64" t="s">
        <v>45</v>
      </c>
      <c r="G1" s="65"/>
      <c r="H1" s="66"/>
      <c r="N1" s="48" t="s">
        <v>34</v>
      </c>
      <c r="O1" s="48"/>
      <c r="P1" s="48"/>
      <c r="Q1" s="48"/>
      <c r="R1" s="48"/>
      <c r="S1" s="48"/>
    </row>
    <row r="2" spans="1:19" ht="19.5" x14ac:dyDescent="0.25">
      <c r="A2" s="40" t="s">
        <v>13</v>
      </c>
      <c r="B2" s="39" t="s">
        <v>14</v>
      </c>
      <c r="C2" s="4" t="s">
        <v>11</v>
      </c>
      <c r="D2" s="4" t="s">
        <v>12</v>
      </c>
      <c r="E2" s="23" t="s">
        <v>25</v>
      </c>
      <c r="F2" s="26" t="s">
        <v>23</v>
      </c>
      <c r="G2" s="4" t="s">
        <v>22</v>
      </c>
      <c r="H2" s="27" t="s">
        <v>27</v>
      </c>
      <c r="J2" s="26" t="s">
        <v>26</v>
      </c>
      <c r="K2" s="4" t="s">
        <v>28</v>
      </c>
      <c r="L2" s="27" t="s">
        <v>29</v>
      </c>
      <c r="M2" s="25" t="s">
        <v>32</v>
      </c>
      <c r="N2" s="25" t="s">
        <v>38</v>
      </c>
      <c r="O2" s="76" t="s">
        <v>39</v>
      </c>
      <c r="P2" s="77" t="s">
        <v>31</v>
      </c>
      <c r="Q2" s="78" t="s">
        <v>22</v>
      </c>
      <c r="S2" s="25" t="s">
        <v>33</v>
      </c>
    </row>
    <row r="3" spans="1:19" ht="16.5" x14ac:dyDescent="0.25">
      <c r="A3" s="7">
        <v>1</v>
      </c>
      <c r="B3" s="68">
        <v>1608.4339</v>
      </c>
      <c r="C3" s="7">
        <v>65.709999999999994</v>
      </c>
      <c r="D3" s="7">
        <v>417.89</v>
      </c>
      <c r="E3" s="24">
        <v>1785</v>
      </c>
      <c r="F3" s="70">
        <f>ROUND((1000)*9.81*C3*B3/3600/1000,3)</f>
        <v>288.00599999999997</v>
      </c>
      <c r="G3" s="44">
        <f>ROUND(D3/F3,3)</f>
        <v>1.4510000000000001</v>
      </c>
      <c r="H3" s="71">
        <f>F3/D3*100</f>
        <v>68.919093541362557</v>
      </c>
      <c r="J3" s="70">
        <f>E3*(B3/3600)^0.5/(C3)^0.75</f>
        <v>51.69695680105584</v>
      </c>
      <c r="K3" s="44">
        <f>LN(J3)</f>
        <v>3.9453989171330863</v>
      </c>
      <c r="L3" s="71">
        <f>LN(B3)</f>
        <v>7.383016251647561</v>
      </c>
      <c r="M3" s="73">
        <f xml:space="preserve"> -11.48*(K3^2) - 0.85*(L3^2) - 0.38*K3*L3 + 88.59*K3 + 13.46*L3 - H3</f>
        <v>143.87794518125816</v>
      </c>
      <c r="N3" s="73">
        <f>'原始數據 汰換前'!$N$29</f>
        <v>161.07204272003531</v>
      </c>
      <c r="O3" s="79">
        <f xml:space="preserve"> -11.48*(K3^2) - 0.85*(L3^2) - 0.38*K3*L3 + 88.59*K3 + 13.46*L3 - N3</f>
        <v>51.724996002585414</v>
      </c>
      <c r="P3" s="80">
        <f>F3/(O3/100)</f>
        <v>556.8023629921679</v>
      </c>
      <c r="Q3" s="81">
        <f>ROUND(P3/F3,3)</f>
        <v>1.9330000000000001</v>
      </c>
      <c r="S3" s="32">
        <f>(P3-D3)/P3</f>
        <v>0.24948235177321237</v>
      </c>
    </row>
    <row r="4" spans="1:19" ht="16.5" x14ac:dyDescent="0.25">
      <c r="A4" s="7">
        <v>2</v>
      </c>
      <c r="B4" s="68">
        <v>1608.4376999999999</v>
      </c>
      <c r="C4" s="7">
        <v>65.709999999999994</v>
      </c>
      <c r="D4" s="7">
        <v>416.8</v>
      </c>
      <c r="E4" s="24">
        <v>1785</v>
      </c>
      <c r="F4" s="70">
        <f>ROUND((1000)*9.81*C4*B4/3600/1000,3)</f>
        <v>288.00599999999997</v>
      </c>
      <c r="G4" s="44">
        <f>ROUND(D4/F4,3)</f>
        <v>1.4470000000000001</v>
      </c>
      <c r="H4" s="71">
        <f>F4/D4*100</f>
        <v>69.099328214971194</v>
      </c>
      <c r="J4" s="70">
        <f>E4*(B4/3600)^0.5/(C4)^0.75</f>
        <v>51.697017869253855</v>
      </c>
      <c r="K4" s="44">
        <f t="shared" ref="K4:K27" si="0">LN(J4)</f>
        <v>3.9454000984049782</v>
      </c>
      <c r="L4" s="71">
        <f>LN(B4)</f>
        <v>7.3830186141913439</v>
      </c>
      <c r="M4" s="73">
        <f xml:space="preserve"> -11.48*(K4^2) - 0.85*(L4^2) - 0.38*K4*L4 + 88.59*K4 + 13.46*L4 - H4</f>
        <v>143.69770344047515</v>
      </c>
      <c r="N4" s="73">
        <f>'原始數據 汰換前'!$N$29</f>
        <v>161.07204272003531</v>
      </c>
      <c r="O4" s="79">
        <f xml:space="preserve"> -11.48*(K4^2) - 0.85*(L4^2) - 0.38*K4*L4 + 88.59*K4 + 13.46*L4 - N4</f>
        <v>51.724988935411034</v>
      </c>
      <c r="P4" s="80">
        <f>F4/(O4/100)</f>
        <v>556.80243906795795</v>
      </c>
      <c r="Q4" s="81">
        <f>ROUND(P4/F4,3)</f>
        <v>1.9330000000000001</v>
      </c>
      <c r="S4" s="32">
        <f>(P4-D4)/P4</f>
        <v>0.25144006068348163</v>
      </c>
    </row>
    <row r="5" spans="1:19" ht="16.5" x14ac:dyDescent="0.25">
      <c r="A5" s="7">
        <v>3</v>
      </c>
      <c r="B5" s="68">
        <v>1593.1179999999999</v>
      </c>
      <c r="C5" s="7">
        <v>65.7</v>
      </c>
      <c r="D5" s="7">
        <v>415.97</v>
      </c>
      <c r="E5" s="24">
        <v>1785</v>
      </c>
      <c r="F5" s="70">
        <f>ROUND((1000)*9.81*C5*B5/3600/1000,3)</f>
        <v>285.22000000000003</v>
      </c>
      <c r="G5" s="44">
        <f>ROUND(D5/F5,3)</f>
        <v>1.458</v>
      </c>
      <c r="H5" s="71">
        <f>F5/D5*100</f>
        <v>68.567444767651523</v>
      </c>
      <c r="J5" s="70">
        <f>E5*(B5/3600)^0.5/(C5)^0.75</f>
        <v>51.456105738977818</v>
      </c>
      <c r="K5" s="44">
        <f t="shared" si="0"/>
        <v>3.9407291284941017</v>
      </c>
      <c r="L5" s="71">
        <f>LN(B5)</f>
        <v>7.3734483812407738</v>
      </c>
      <c r="M5" s="73">
        <f xml:space="preserve"> -11.48*(K5^2) - 0.85*(L5^2) - 0.38*K5*L5 + 88.59*K5 + 13.46*L5 - H5</f>
        <v>144.25732137527129</v>
      </c>
      <c r="N5" s="73">
        <f>'原始數據 汰換前'!$N$29</f>
        <v>161.07204272003531</v>
      </c>
      <c r="O5" s="79">
        <f xml:space="preserve"> -11.48*(K5^2) - 0.85*(L5^2) - 0.38*K5*L5 + 88.59*K5 + 13.46*L5 - N5</f>
        <v>51.752723422887499</v>
      </c>
      <c r="P5" s="80">
        <f>F5/(O5/100)</f>
        <v>551.12075488159189</v>
      </c>
      <c r="Q5" s="81">
        <f>ROUND(P5/F5,3)</f>
        <v>1.9319999999999999</v>
      </c>
      <c r="S5" s="32">
        <f>(P5-D5)/P5</f>
        <v>0.24522893337709439</v>
      </c>
    </row>
    <row r="6" spans="1:19" ht="16.5" x14ac:dyDescent="0.25">
      <c r="A6" s="7">
        <v>4</v>
      </c>
      <c r="B6" s="68">
        <v>1600.2856999999999</v>
      </c>
      <c r="C6" s="7">
        <v>65.7</v>
      </c>
      <c r="D6" s="7">
        <v>417.67</v>
      </c>
      <c r="E6" s="24">
        <v>1785</v>
      </c>
      <c r="F6" s="70">
        <f>ROUND((1000)*9.81*C6*B6/3600/1000,3)</f>
        <v>286.50299999999999</v>
      </c>
      <c r="G6" s="44">
        <f>ROUND(D6/F6,3)</f>
        <v>1.458</v>
      </c>
      <c r="H6" s="71">
        <f>F6/D6*100</f>
        <v>68.595541935020464</v>
      </c>
      <c r="J6" s="70">
        <f>E6*(B6/3600)^0.5/(C6)^0.75</f>
        <v>51.571730574077186</v>
      </c>
      <c r="K6" s="44">
        <f t="shared" si="0"/>
        <v>3.9429736652674583</v>
      </c>
      <c r="L6" s="71">
        <f>LN(B6)</f>
        <v>7.377937454787487</v>
      </c>
      <c r="M6" s="73">
        <f xml:space="preserve"> -11.48*(K6^2) - 0.85*(L6^2) - 0.38*K6*L6 + 88.59*K6 + 13.46*L6 - H6</f>
        <v>144.2160469042818</v>
      </c>
      <c r="N6" s="73">
        <f>'原始數據 汰換前'!$N$29</f>
        <v>161.07204272003531</v>
      </c>
      <c r="O6" s="79">
        <f xml:space="preserve"> -11.48*(K6^2) - 0.85*(L6^2) - 0.38*K6*L6 + 88.59*K6 + 13.46*L6 - N6</f>
        <v>51.739546119266947</v>
      </c>
      <c r="P6" s="80">
        <f>F6/(O6/100)</f>
        <v>553.74084523194347</v>
      </c>
      <c r="Q6" s="81">
        <f>ROUND(P6/F6,3)</f>
        <v>1.9330000000000001</v>
      </c>
      <c r="S6" s="32">
        <f>(P6-D6)/P6</f>
        <v>0.24573019383272682</v>
      </c>
    </row>
    <row r="7" spans="1:19" ht="16.5" x14ac:dyDescent="0.25">
      <c r="A7" s="7">
        <v>5</v>
      </c>
      <c r="B7" s="68">
        <v>1593.1831999999999</v>
      </c>
      <c r="C7" s="7">
        <v>65.599999999999994</v>
      </c>
      <c r="D7" s="7">
        <v>418.11</v>
      </c>
      <c r="E7" s="24">
        <v>1785</v>
      </c>
      <c r="F7" s="70">
        <f>ROUND((1000)*9.81*C7*B7/3600/1000,3)</f>
        <v>284.79700000000003</v>
      </c>
      <c r="G7" s="44">
        <f>ROUND(D7/F7,3)</f>
        <v>1.468</v>
      </c>
      <c r="H7" s="71">
        <f>F7/D7*100</f>
        <v>68.115328502068834</v>
      </c>
      <c r="J7" s="70">
        <f>E7*(B7/3600)^0.5/(C7)^0.75</f>
        <v>51.515978065362262</v>
      </c>
      <c r="K7" s="44">
        <f t="shared" si="0"/>
        <v>3.9418920132473194</v>
      </c>
      <c r="L7" s="71">
        <f>LN(B7)</f>
        <v>7.3734893064364266</v>
      </c>
      <c r="M7" s="73">
        <f xml:space="preserve"> -11.48*(K7^2) - 0.85*(L7^2) - 0.38*K7*L7 + 88.59*K7 + 13.46*L7 - H7</f>
        <v>144.70394352194415</v>
      </c>
      <c r="N7" s="73">
        <f>'原始數據 汰換前'!$N$29</f>
        <v>161.07204272003531</v>
      </c>
      <c r="O7" s="79">
        <f xml:space="preserve"> -11.48*(K7^2) - 0.85*(L7^2) - 0.38*K7*L7 + 88.59*K7 + 13.46*L7 - N7</f>
        <v>51.74722930397769</v>
      </c>
      <c r="P7" s="80">
        <f>F7/(O7/100)</f>
        <v>550.36183353319814</v>
      </c>
      <c r="Q7" s="81">
        <f>ROUND(P7/F7,3)</f>
        <v>1.9319999999999999</v>
      </c>
      <c r="S7" s="32">
        <f>(P7-D7)/P7</f>
        <v>0.24029979092876291</v>
      </c>
    </row>
    <row r="8" spans="1:19" ht="16.5" x14ac:dyDescent="0.25">
      <c r="A8" s="7">
        <v>6</v>
      </c>
      <c r="B8" s="68">
        <v>1614.0724</v>
      </c>
      <c r="C8" s="7">
        <v>65.709999999999994</v>
      </c>
      <c r="D8" s="7">
        <v>417.68</v>
      </c>
      <c r="E8" s="24">
        <v>1785</v>
      </c>
      <c r="F8" s="70">
        <f>ROUND((1000)*9.81*C8*B8/3600/1000,3)</f>
        <v>289.01499999999999</v>
      </c>
      <c r="G8" s="44">
        <f>ROUND(D8/F8,3)</f>
        <v>1.4450000000000001</v>
      </c>
      <c r="H8" s="71">
        <f>F8/D8*100</f>
        <v>69.195316989082542</v>
      </c>
      <c r="J8" s="70">
        <f>E8*(B8/3600)^0.5/(C8)^0.75</f>
        <v>51.787491536170201</v>
      </c>
      <c r="K8" s="44">
        <f t="shared" si="0"/>
        <v>3.9471486439696704</v>
      </c>
      <c r="L8" s="71">
        <f>LN(B8)</f>
        <v>7.3865157053207291</v>
      </c>
      <c r="M8" s="73">
        <f xml:space="preserve"> -11.48*(K8^2) - 0.85*(L8^2) - 0.38*K8*L8 + 88.59*K8 + 13.46*L8 - H8</f>
        <v>143.59120582368001</v>
      </c>
      <c r="N8" s="73">
        <f>'原始數據 汰換前'!$N$29</f>
        <v>161.07204272003531</v>
      </c>
      <c r="O8" s="79">
        <f xml:space="preserve"> -11.48*(K8^2) - 0.85*(L8^2) - 0.38*K8*L8 + 88.59*K8 + 13.46*L8 - N8</f>
        <v>51.714480092727229</v>
      </c>
      <c r="P8" s="80">
        <f>F8/(O8/100)</f>
        <v>558.86668391865953</v>
      </c>
      <c r="Q8" s="81">
        <f>ROUND(P8/F8,3)</f>
        <v>1.9339999999999999</v>
      </c>
      <c r="S8" s="32">
        <f>(P8-D8)/P8</f>
        <v>0.25263034634429665</v>
      </c>
    </row>
    <row r="9" spans="1:19" ht="16.5" x14ac:dyDescent="0.25">
      <c r="A9" s="7">
        <v>7</v>
      </c>
      <c r="B9" s="68">
        <v>1615.7692999999999</v>
      </c>
      <c r="C9" s="7">
        <v>65.61</v>
      </c>
      <c r="D9" s="7">
        <v>417.16</v>
      </c>
      <c r="E9" s="24">
        <v>1785</v>
      </c>
      <c r="F9" s="70">
        <f>ROUND((1000)*9.81*C9*B9/3600/1000,3)</f>
        <v>288.87900000000002</v>
      </c>
      <c r="G9" s="44">
        <f>ROUND(D9/F9,3)</f>
        <v>1.444</v>
      </c>
      <c r="H9" s="71">
        <f>F9/D9*100</f>
        <v>69.248969220442987</v>
      </c>
      <c r="J9" s="70">
        <f>E9*(B9/3600)^0.5/(C9)^0.75</f>
        <v>51.873925960908331</v>
      </c>
      <c r="K9" s="44">
        <f t="shared" si="0"/>
        <v>3.9488162739684918</v>
      </c>
      <c r="L9" s="71">
        <f>LN(B9)</f>
        <v>7.3875664689888856</v>
      </c>
      <c r="M9" s="73">
        <f xml:space="preserve"> -11.48*(K9^2) - 0.85*(L9^2) - 0.38*K9*L9 + 88.59*K9 + 13.46*L9 - H9</f>
        <v>143.52881574958451</v>
      </c>
      <c r="N9" s="73">
        <f>'原始數據 汰換前'!$N$29</f>
        <v>161.07204272003531</v>
      </c>
      <c r="O9" s="79">
        <f xml:space="preserve"> -11.48*(K9^2) - 0.85*(L9^2) - 0.38*K9*L9 + 88.59*K9 + 13.46*L9 - N9</f>
        <v>51.70574224999217</v>
      </c>
      <c r="P9" s="80">
        <f>F9/(O9/100)</f>
        <v>558.69810088654856</v>
      </c>
      <c r="Q9" s="81">
        <f>ROUND(P9/F9,3)</f>
        <v>1.9339999999999999</v>
      </c>
      <c r="S9" s="32">
        <f>(P9-D9)/P9</f>
        <v>0.25333556828268122</v>
      </c>
    </row>
    <row r="10" spans="1:19" ht="16.5" x14ac:dyDescent="0.25">
      <c r="A10" s="7">
        <v>8</v>
      </c>
      <c r="B10" s="68">
        <v>1599.7775999999999</v>
      </c>
      <c r="C10" s="7">
        <v>65.7</v>
      </c>
      <c r="D10" s="7">
        <v>416.91</v>
      </c>
      <c r="E10" s="24">
        <v>1785</v>
      </c>
      <c r="F10" s="70">
        <f>ROUND((1000)*9.81*C10*B10/3600/1000,3)</f>
        <v>286.41199999999998</v>
      </c>
      <c r="G10" s="44">
        <f>ROUND(D10/F10,3)</f>
        <v>1.456</v>
      </c>
      <c r="H10" s="71">
        <f>F10/D10*100</f>
        <v>68.698759924204253</v>
      </c>
      <c r="J10" s="70">
        <f>E10*(B10/3600)^0.5/(C10)^0.75</f>
        <v>51.563542762181022</v>
      </c>
      <c r="K10" s="44">
        <f t="shared" si="0"/>
        <v>3.9428148871569535</v>
      </c>
      <c r="L10" s="71">
        <f>LN(B10)</f>
        <v>7.3776198985664774</v>
      </c>
      <c r="M10" s="73">
        <f xml:space="preserve"> -11.48*(K10^2) - 0.85*(L10^2) - 0.38*K10*L10 + 88.59*K10 + 13.46*L10 - H10</f>
        <v>144.11376625462833</v>
      </c>
      <c r="N10" s="73">
        <f>'原始數據 汰換前'!$N$29</f>
        <v>161.07204272003531</v>
      </c>
      <c r="O10" s="79">
        <f xml:space="preserve"> -11.48*(K10^2) - 0.85*(L10^2) - 0.38*K10*L10 + 88.59*K10 + 13.46*L10 - N10</f>
        <v>51.740483458797257</v>
      </c>
      <c r="P10" s="80">
        <f>F10/(O10/100)</f>
        <v>553.55493581361634</v>
      </c>
      <c r="Q10" s="81">
        <f>ROUND(P10/F10,3)</f>
        <v>1.9330000000000001</v>
      </c>
      <c r="S10" s="32">
        <f>(P10-D10)/P10</f>
        <v>0.2468498191833034</v>
      </c>
    </row>
    <row r="11" spans="1:19" ht="16.5" x14ac:dyDescent="0.25">
      <c r="A11" s="7">
        <v>9</v>
      </c>
      <c r="B11" s="68">
        <v>1621.2203</v>
      </c>
      <c r="C11" s="7">
        <v>65.72</v>
      </c>
      <c r="D11" s="7">
        <v>417.92999999999995</v>
      </c>
      <c r="E11" s="24">
        <v>1785</v>
      </c>
      <c r="F11" s="70">
        <f>ROUND((1000)*9.81*C11*B11/3600/1000,3)</f>
        <v>290.339</v>
      </c>
      <c r="G11" s="44">
        <f>ROUND(D11/F11,3)</f>
        <v>1.4390000000000001</v>
      </c>
      <c r="H11" s="71">
        <f>F11/D11*100</f>
        <v>69.470724762520035</v>
      </c>
      <c r="J11" s="70">
        <f>E11*(B11/3600)^0.5/(C11)^0.75</f>
        <v>51.896111801564125</v>
      </c>
      <c r="K11" s="44">
        <f t="shared" si="0"/>
        <v>3.9492438702471904</v>
      </c>
      <c r="L11" s="71">
        <f>LN(B11)</f>
        <v>7.390934416264705</v>
      </c>
      <c r="M11" s="73">
        <f xml:space="preserve"> -11.48*(K11^2) - 0.85*(L11^2) - 0.38*K11*L11 + 88.59*K11 + 13.46*L11 - H11</f>
        <v>143.30294156120411</v>
      </c>
      <c r="N11" s="73">
        <f>'原始數據 汰換前'!$N$29</f>
        <v>161.07204272003531</v>
      </c>
      <c r="O11" s="79">
        <f xml:space="preserve"> -11.48*(K11^2) - 0.85*(L11^2) - 0.38*K11*L11 + 88.59*K11 + 13.46*L11 - N11</f>
        <v>51.70162360368883</v>
      </c>
      <c r="P11" s="80">
        <f>F11/(O11/100)</f>
        <v>561.56650364706297</v>
      </c>
      <c r="Q11" s="81">
        <f>ROUND(P11/F11,3)</f>
        <v>1.9339999999999999</v>
      </c>
      <c r="S11" s="32">
        <f>(P11-D11)/P11</f>
        <v>0.25577826083682625</v>
      </c>
    </row>
    <row r="12" spans="1:19" ht="16.5" x14ac:dyDescent="0.25">
      <c r="A12" s="7">
        <v>10</v>
      </c>
      <c r="B12" s="68">
        <v>1601.1041</v>
      </c>
      <c r="C12" s="7">
        <v>65.7</v>
      </c>
      <c r="D12" s="7">
        <v>417.34000000000003</v>
      </c>
      <c r="E12" s="24">
        <v>1785</v>
      </c>
      <c r="F12" s="70">
        <f>ROUND((1000)*9.81*C12*B12/3600/1000,3)</f>
        <v>286.64999999999998</v>
      </c>
      <c r="G12" s="44">
        <f>ROUND(D12/F12,3)</f>
        <v>1.456</v>
      </c>
      <c r="H12" s="71">
        <f>F12/D12*100</f>
        <v>68.685005031868485</v>
      </c>
      <c r="J12" s="70">
        <f>E12*(B12/3600)^0.5/(C12)^0.75</f>
        <v>51.58491600387687</v>
      </c>
      <c r="K12" s="44">
        <f t="shared" si="0"/>
        <v>3.9432293042458255</v>
      </c>
      <c r="L12" s="71">
        <f>LN(B12)</f>
        <v>7.3784487327442214</v>
      </c>
      <c r="M12" s="73">
        <f xml:space="preserve"> -11.48*(K12^2) - 0.85*(L12^2) - 0.38*K12*L12 + 88.59*K12 + 13.46*L12 - H12</f>
        <v>144.12507299714807</v>
      </c>
      <c r="N12" s="73">
        <f>'原始數據 汰換前'!$N$29</f>
        <v>161.07204272003531</v>
      </c>
      <c r="O12" s="79">
        <f xml:space="preserve"> -11.48*(K12^2) - 0.85*(L12^2) - 0.38*K12*L12 + 88.59*K12 + 13.46*L12 - N12</f>
        <v>51.738035308981239</v>
      </c>
      <c r="P12" s="80">
        <f>F12/(O12/100)</f>
        <v>554.04113876399992</v>
      </c>
      <c r="Q12" s="81">
        <f>ROUND(P12/F12,3)</f>
        <v>1.9330000000000001</v>
      </c>
      <c r="S12" s="32">
        <f>(P12-D12)/P12</f>
        <v>0.24673463611197521</v>
      </c>
    </row>
    <row r="13" spans="1:19" ht="16.5" x14ac:dyDescent="0.25">
      <c r="A13" s="7">
        <v>11</v>
      </c>
      <c r="B13" s="68">
        <v>1604.3116</v>
      </c>
      <c r="C13" s="7">
        <v>65.709999999999994</v>
      </c>
      <c r="D13" s="7">
        <v>417.94</v>
      </c>
      <c r="E13" s="24">
        <v>1785</v>
      </c>
      <c r="F13" s="70">
        <f>ROUND((1000)*9.81*C13*B13/3600/1000,3)</f>
        <v>287.26799999999997</v>
      </c>
      <c r="G13" s="44">
        <f>ROUND(D13/F13,3)</f>
        <v>1.4550000000000001</v>
      </c>
      <c r="H13" s="71">
        <f>F13/D13*100</f>
        <v>68.734268076757417</v>
      </c>
      <c r="J13" s="70">
        <f>E13*(B13/3600)^0.5/(C13)^0.75</f>
        <v>51.630666514926418</v>
      </c>
      <c r="K13" s="44">
        <f t="shared" si="0"/>
        <v>3.9441158082586756</v>
      </c>
      <c r="L13" s="71">
        <f>LN(B13)</f>
        <v>7.3804500338987387</v>
      </c>
      <c r="M13" s="73">
        <f xml:space="preserve"> -11.48*(K13^2) - 0.85*(L13^2) - 0.38*K13*L13 + 88.59*K13 + 13.46*L13 - H13</f>
        <v>144.0704213056064</v>
      </c>
      <c r="N13" s="73">
        <f>'原始數據 汰換前'!$N$29</f>
        <v>161.07204272003531</v>
      </c>
      <c r="O13" s="79">
        <f xml:space="preserve"> -11.48*(K13^2) - 0.85*(L13^2) - 0.38*K13*L13 + 88.59*K13 + 13.46*L13 - N13</f>
        <v>51.732646662328506</v>
      </c>
      <c r="P13" s="80">
        <f>F13/(O13/100)</f>
        <v>555.29345303956256</v>
      </c>
      <c r="Q13" s="81">
        <f>ROUND(P13/F13,3)</f>
        <v>1.9330000000000001</v>
      </c>
      <c r="S13" s="32">
        <f>(P13-D13)/P13</f>
        <v>0.24735291274859791</v>
      </c>
    </row>
    <row r="14" spans="1:19" ht="16.5" x14ac:dyDescent="0.25">
      <c r="A14" s="7">
        <v>12</v>
      </c>
      <c r="B14" s="68">
        <v>1612.1137000000001</v>
      </c>
      <c r="C14" s="7">
        <v>65.709999999999994</v>
      </c>
      <c r="D14" s="7">
        <v>416.44</v>
      </c>
      <c r="E14" s="24">
        <v>1785</v>
      </c>
      <c r="F14" s="70">
        <f>ROUND((1000)*9.81*C14*B14/3600/1000,3)</f>
        <v>288.66500000000002</v>
      </c>
      <c r="G14" s="44">
        <f>ROUND(D14/F14,3)</f>
        <v>1.4430000000000001</v>
      </c>
      <c r="H14" s="71">
        <f>F14/D14*100</f>
        <v>69.317308615887057</v>
      </c>
      <c r="J14" s="70">
        <f>E14*(B14/3600)^0.5/(C14)^0.75</f>
        <v>51.756059565734212</v>
      </c>
      <c r="K14" s="44">
        <f t="shared" si="0"/>
        <v>3.9465415183482873</v>
      </c>
      <c r="L14" s="71">
        <f>LN(B14)</f>
        <v>7.3853014540779629</v>
      </c>
      <c r="M14" s="73">
        <f xml:space="preserve"> -11.48*(K14^2) - 0.85*(L14^2) - 0.38*K14*L14 + 88.59*K14 + 13.46*L14 - H14</f>
        <v>143.47287388926071</v>
      </c>
      <c r="N14" s="73">
        <f>'原始數據 汰換前'!$N$29</f>
        <v>161.07204272003531</v>
      </c>
      <c r="O14" s="79">
        <f xml:space="preserve"> -11.48*(K14^2) - 0.85*(L14^2) - 0.38*K14*L14 + 88.59*K14 + 13.46*L14 - N14</f>
        <v>51.718139785112442</v>
      </c>
      <c r="P14" s="80">
        <f>F14/(O14/100)</f>
        <v>558.15039210496707</v>
      </c>
      <c r="Q14" s="81">
        <f>ROUND(P14/F14,3)</f>
        <v>1.9339999999999999</v>
      </c>
      <c r="S14" s="32">
        <f>(P14-D14)/P14</f>
        <v>0.2538928469986933</v>
      </c>
    </row>
    <row r="15" spans="1:19" ht="16.5" x14ac:dyDescent="0.25">
      <c r="A15" s="7">
        <v>13</v>
      </c>
      <c r="B15" s="68">
        <v>1595.0748000000001</v>
      </c>
      <c r="C15" s="7">
        <v>65.599999999999994</v>
      </c>
      <c r="D15" s="7">
        <v>417.65</v>
      </c>
      <c r="E15" s="24">
        <v>1785</v>
      </c>
      <c r="F15" s="70">
        <f>ROUND((1000)*9.81*C15*B15/3600/1000,3)</f>
        <v>285.13600000000002</v>
      </c>
      <c r="G15" s="44">
        <f>ROUND(D15/F15,3)</f>
        <v>1.4650000000000001</v>
      </c>
      <c r="H15" s="71">
        <f>F15/D15*100</f>
        <v>68.271519214653438</v>
      </c>
      <c r="J15" s="70">
        <f>E15*(B15/3600)^0.5/(C15)^0.75</f>
        <v>51.546551673020325</v>
      </c>
      <c r="K15" s="44">
        <f t="shared" si="0"/>
        <v>3.9424853153646362</v>
      </c>
      <c r="L15" s="71">
        <f>LN(B15)</f>
        <v>7.3746759106710602</v>
      </c>
      <c r="M15" s="73">
        <f xml:space="preserve"> -11.48*(K15^2) - 0.85*(L15^2) - 0.38*K15*L15 + 88.59*K15 + 13.46*L15 - H15</f>
        <v>144.54426849590592</v>
      </c>
      <c r="N15" s="73">
        <f>'原始數據 汰換前'!$N$29</f>
        <v>161.07204272003531</v>
      </c>
      <c r="O15" s="79">
        <f xml:space="preserve"> -11.48*(K15^2) - 0.85*(L15^2) - 0.38*K15*L15 + 88.59*K15 + 13.46*L15 - N15</f>
        <v>51.74374499052405</v>
      </c>
      <c r="P15" s="80">
        <f>F15/(O15/100)</f>
        <v>551.05404537730624</v>
      </c>
      <c r="Q15" s="81">
        <f>ROUND(P15/F15,3)</f>
        <v>1.9330000000000001</v>
      </c>
      <c r="S15" s="32">
        <f>(P15-D15)/P15</f>
        <v>0.24208885951642842</v>
      </c>
    </row>
    <row r="16" spans="1:19" ht="16.5" x14ac:dyDescent="0.25">
      <c r="A16" s="7">
        <v>14</v>
      </c>
      <c r="B16" s="68">
        <v>1600.5617</v>
      </c>
      <c r="C16" s="7">
        <v>65.5</v>
      </c>
      <c r="D16" s="7">
        <v>417.37</v>
      </c>
      <c r="E16" s="24">
        <v>1785</v>
      </c>
      <c r="F16" s="70">
        <f>ROUND((1000)*9.81*C16*B16/3600/1000,3)</f>
        <v>285.68</v>
      </c>
      <c r="G16" s="44">
        <f>ROUND(D16/F16,3)</f>
        <v>1.4610000000000001</v>
      </c>
      <c r="H16" s="71">
        <f>F16/D16*100</f>
        <v>68.447660349330334</v>
      </c>
      <c r="J16" s="70">
        <f>E16*(B16/3600)^0.5/(C16)^0.75</f>
        <v>51.694246009730556</v>
      </c>
      <c r="K16" s="44">
        <f t="shared" si="0"/>
        <v>3.9453464795706594</v>
      </c>
      <c r="L16" s="71">
        <f>LN(B16)</f>
        <v>7.3781099091198517</v>
      </c>
      <c r="M16" s="73">
        <f xml:space="preserve"> -11.48*(K16^2) - 0.85*(L16^2) - 0.38*K16*L16 + 88.59*K16 + 13.46*L16 - H16</f>
        <v>144.35250618545737</v>
      </c>
      <c r="N16" s="73">
        <f>'原始數據 汰換前'!$N$29</f>
        <v>161.07204272003531</v>
      </c>
      <c r="O16" s="79">
        <f xml:space="preserve"> -11.48*(K16^2) - 0.85*(L16^2) - 0.38*K16*L16 + 88.59*K16 + 13.46*L16 - N16</f>
        <v>51.728123814752394</v>
      </c>
      <c r="P16" s="80">
        <f>F16/(O16/100)</f>
        <v>552.27210834684604</v>
      </c>
      <c r="Q16" s="81">
        <f>ROUND(P16/F16,3)</f>
        <v>1.9330000000000001</v>
      </c>
      <c r="S16" s="32">
        <f>(P16-D16)/P16</f>
        <v>0.24426746581618572</v>
      </c>
    </row>
    <row r="17" spans="1:19" ht="16.5" x14ac:dyDescent="0.25">
      <c r="A17" s="7">
        <v>15</v>
      </c>
      <c r="B17" s="68">
        <v>1601.4177</v>
      </c>
      <c r="C17" s="7">
        <v>65.510000000000005</v>
      </c>
      <c r="D17" s="7">
        <v>417.51</v>
      </c>
      <c r="E17" s="24">
        <v>1785</v>
      </c>
      <c r="F17" s="70">
        <f>ROUND((1000)*9.81*C17*B17/3600/1000,3)</f>
        <v>285.87700000000001</v>
      </c>
      <c r="G17" s="44">
        <f>ROUND(D17/F17,3)</f>
        <v>1.46</v>
      </c>
      <c r="H17" s="71">
        <f>F17/D17*100</f>
        <v>68.471892888793079</v>
      </c>
      <c r="J17" s="70">
        <f>E17*(B17/3600)^0.5/(C17)^0.75</f>
        <v>51.702147539686294</v>
      </c>
      <c r="K17" s="44">
        <f t="shared" si="0"/>
        <v>3.9454993191369128</v>
      </c>
      <c r="L17" s="71">
        <f>LN(B17)</f>
        <v>7.3786445784062265</v>
      </c>
      <c r="M17" s="73">
        <f xml:space="preserve"> -11.48*(K17^2) - 0.85*(L17^2) - 0.38*K17*L17 + 88.59*K17 + 13.46*L17 - H17</f>
        <v>144.32722846420285</v>
      </c>
      <c r="N17" s="73">
        <f>'原始數據 汰換前'!$N$29</f>
        <v>161.07204272003531</v>
      </c>
      <c r="O17" s="79">
        <f xml:space="preserve"> -11.48*(K17^2) - 0.85*(L17^2) - 0.38*K17*L17 + 88.59*K17 + 13.46*L17 - N17</f>
        <v>51.727078632960598</v>
      </c>
      <c r="P17" s="80">
        <f>F17/(O17/100)</f>
        <v>552.66411240521631</v>
      </c>
      <c r="Q17" s="81">
        <f>ROUND(P17/F17,3)</f>
        <v>1.9330000000000001</v>
      </c>
      <c r="S17" s="32">
        <f>(P17-D17)/P17</f>
        <v>0.24455018766646566</v>
      </c>
    </row>
    <row r="18" spans="1:19" ht="16.5" x14ac:dyDescent="0.25">
      <c r="A18" s="7">
        <v>16</v>
      </c>
      <c r="B18" s="68">
        <v>1600.9974</v>
      </c>
      <c r="C18" s="7">
        <v>65.599999999999994</v>
      </c>
      <c r="D18" s="7">
        <v>418.04999999999995</v>
      </c>
      <c r="E18" s="24">
        <v>1785</v>
      </c>
      <c r="F18" s="70">
        <f>ROUND((1000)*9.81*C18*B18/3600/1000,3)</f>
        <v>286.19400000000002</v>
      </c>
      <c r="G18" s="44">
        <f>ROUND(D18/F18,3)</f>
        <v>1.4610000000000001</v>
      </c>
      <c r="H18" s="71">
        <f>F18/D18*100</f>
        <v>68.459275206315041</v>
      </c>
      <c r="J18" s="70">
        <f>E18*(B18/3600)^0.5/(C18)^0.75</f>
        <v>51.642160588222119</v>
      </c>
      <c r="K18" s="44">
        <f t="shared" si="0"/>
        <v>3.9443384045342995</v>
      </c>
      <c r="L18" s="71">
        <f>LN(B18)</f>
        <v>7.3783820890103868</v>
      </c>
      <c r="M18" s="73">
        <f xml:space="preserve"> -11.48*(K18^2) - 0.85*(L18^2) - 0.38*K18*L18 + 88.59*K18 + 13.46*L18 - H18</f>
        <v>144.34555887760064</v>
      </c>
      <c r="N18" s="73">
        <f>'原始數據 汰換前'!$N$29</f>
        <v>161.07204272003531</v>
      </c>
      <c r="O18" s="79">
        <f xml:space="preserve"> -11.48*(K18^2) - 0.85*(L18^2) - 0.38*K18*L18 + 88.59*K18 + 13.46*L18 - N18</f>
        <v>51.732791363880381</v>
      </c>
      <c r="P18" s="80">
        <f>F18/(O18/100)</f>
        <v>553.21584715380243</v>
      </c>
      <c r="Q18" s="81">
        <f>ROUND(P18/F18,3)</f>
        <v>1.9330000000000001</v>
      </c>
      <c r="S18" s="32">
        <f>(P18-D18)/P18</f>
        <v>0.24432750408218931</v>
      </c>
    </row>
    <row r="19" spans="1:19" ht="16.5" x14ac:dyDescent="0.25">
      <c r="A19" s="7">
        <v>17</v>
      </c>
      <c r="B19" s="68">
        <v>1606.9521</v>
      </c>
      <c r="C19" s="7">
        <v>65.61</v>
      </c>
      <c r="D19" s="7">
        <v>417.44</v>
      </c>
      <c r="E19" s="24">
        <v>1785</v>
      </c>
      <c r="F19" s="70">
        <f>ROUND((1000)*9.81*C19*B19/3600/1000,3)</f>
        <v>287.303</v>
      </c>
      <c r="G19" s="44">
        <f>ROUND(D19/F19,3)</f>
        <v>1.4530000000000001</v>
      </c>
      <c r="H19" s="71">
        <f>F19/D19*100</f>
        <v>68.824980835569178</v>
      </c>
      <c r="J19" s="70">
        <f>E19*(B19/3600)^0.5/(C19)^0.75</f>
        <v>51.732195186275348</v>
      </c>
      <c r="K19" s="44">
        <f t="shared" si="0"/>
        <v>3.9460803185737032</v>
      </c>
      <c r="L19" s="71">
        <f>LN(B19)</f>
        <v>7.3820945581993085</v>
      </c>
      <c r="M19" s="73">
        <f xml:space="preserve"> -11.48*(K19^2) - 0.85*(L19^2) - 0.38*K19*L19 + 88.59*K19 + 13.46*L19 - H19</f>
        <v>143.96932419681974</v>
      </c>
      <c r="N19" s="73">
        <f>'原始數據 汰換前'!$N$29</f>
        <v>161.07204272003531</v>
      </c>
      <c r="O19" s="79">
        <f xml:space="preserve"> -11.48*(K19^2) - 0.85*(L19^2) - 0.38*K19*L19 + 88.59*K19 + 13.46*L19 - N19</f>
        <v>51.722262312353593</v>
      </c>
      <c r="P19" s="80">
        <f>F19/(O19/100)</f>
        <v>555.47260919284884</v>
      </c>
      <c r="Q19" s="81">
        <f>ROUND(P19/F19,3)</f>
        <v>1.9330000000000001</v>
      </c>
      <c r="S19" s="32">
        <f>(P19-D19)/P19</f>
        <v>0.24849579782776779</v>
      </c>
    </row>
    <row r="20" spans="1:19" ht="16.5" x14ac:dyDescent="0.25">
      <c r="A20" s="7">
        <v>18</v>
      </c>
      <c r="B20" s="68">
        <v>1592.9994999999999</v>
      </c>
      <c r="C20" s="7">
        <v>65.7</v>
      </c>
      <c r="D20" s="7">
        <v>417.66999999999996</v>
      </c>
      <c r="E20" s="24">
        <v>1785</v>
      </c>
      <c r="F20" s="70">
        <f>ROUND((1000)*9.81*C20*B20/3600/1000,3)</f>
        <v>285.19900000000001</v>
      </c>
      <c r="G20" s="44">
        <f>ROUND(D20/F20,3)</f>
        <v>1.464</v>
      </c>
      <c r="H20" s="71">
        <f>F20/D20*100</f>
        <v>68.283333732372455</v>
      </c>
      <c r="J20" s="70">
        <f>E20*(B20/3600)^0.5/(C20)^0.75</f>
        <v>51.454191988106274</v>
      </c>
      <c r="K20" s="44">
        <f t="shared" si="0"/>
        <v>3.9406919358921169</v>
      </c>
      <c r="L20" s="71">
        <f>LN(B20)</f>
        <v>7.3733739960368041</v>
      </c>
      <c r="M20" s="73">
        <f xml:space="preserve"> -11.48*(K20^2) - 0.85*(L20^2) - 0.38*K20*L20 + 88.59*K20 + 13.46*L20 - H20</f>
        <v>144.54164943489178</v>
      </c>
      <c r="N20" s="73">
        <f>'原始數據 汰換前'!$N$29</f>
        <v>161.07204272003531</v>
      </c>
      <c r="O20" s="79">
        <f xml:space="preserve"> -11.48*(K20^2) - 0.85*(L20^2) - 0.38*K20*L20 + 88.59*K20 + 13.46*L20 - N20</f>
        <v>51.752940447228923</v>
      </c>
      <c r="P20" s="80">
        <f>F20/(O20/100)</f>
        <v>551.07786636937033</v>
      </c>
      <c r="Q20" s="81">
        <f>ROUND(P20/F20,3)</f>
        <v>1.9319999999999999</v>
      </c>
      <c r="S20" s="32">
        <f>(P20-D20)/P20</f>
        <v>0.24208532860935342</v>
      </c>
    </row>
    <row r="21" spans="1:19" ht="16.5" x14ac:dyDescent="0.25">
      <c r="A21" s="7">
        <v>19</v>
      </c>
      <c r="B21" s="68">
        <v>1608.1596</v>
      </c>
      <c r="C21" s="7">
        <v>65.61</v>
      </c>
      <c r="D21" s="7">
        <v>417.9</v>
      </c>
      <c r="E21" s="24">
        <v>1785</v>
      </c>
      <c r="F21" s="70">
        <f>ROUND((1000)*9.81*C21*B21/3600/1000,3)</f>
        <v>287.51799999999997</v>
      </c>
      <c r="G21" s="44">
        <f>ROUND(D21/F21,3)</f>
        <v>1.4530000000000001</v>
      </c>
      <c r="H21" s="71">
        <f>F21/D21*100</f>
        <v>68.800670016750416</v>
      </c>
      <c r="J21" s="70">
        <f>E21*(B21/3600)^0.5/(C21)^0.75</f>
        <v>51.751627904707611</v>
      </c>
      <c r="K21" s="44">
        <f t="shared" si="0"/>
        <v>3.9464558887465135</v>
      </c>
      <c r="L21" s="71">
        <f>LN(B21)</f>
        <v>7.3828456985449291</v>
      </c>
      <c r="M21" s="73">
        <f xml:space="preserve"> -11.48*(K21^2) - 0.85*(L21^2) - 0.38*K21*L21 + 88.59*K21 + 13.46*L21 - H21</f>
        <v>143.99138113771897</v>
      </c>
      <c r="N21" s="73">
        <f>'原始數據 汰換前'!$N$29</f>
        <v>161.07204272003531</v>
      </c>
      <c r="O21" s="79">
        <f xml:space="preserve"> -11.48*(K21^2) - 0.85*(L21^2) - 0.38*K21*L21 + 88.59*K21 + 13.46*L21 - N21</f>
        <v>51.720008434434078</v>
      </c>
      <c r="P21" s="80">
        <f>F21/(O21/100)</f>
        <v>555.91251568431039</v>
      </c>
      <c r="Q21" s="81">
        <f>ROUND(P21/F21,3)</f>
        <v>1.9330000000000001</v>
      </c>
      <c r="S21" s="32">
        <f>(P21-D21)/P21</f>
        <v>0.2482630122374947</v>
      </c>
    </row>
    <row r="22" spans="1:19" ht="16.5" x14ac:dyDescent="0.25">
      <c r="A22" s="7">
        <v>20</v>
      </c>
      <c r="B22" s="68">
        <v>1596.0952</v>
      </c>
      <c r="C22" s="7">
        <v>65.599999999999994</v>
      </c>
      <c r="D22" s="7">
        <v>417.63</v>
      </c>
      <c r="E22" s="24">
        <v>1785</v>
      </c>
      <c r="F22" s="70">
        <f>ROUND((1000)*9.81*C22*B22/3600/1000,3)</f>
        <v>285.31799999999998</v>
      </c>
      <c r="G22" s="44">
        <f>ROUND(D22/F22,3)</f>
        <v>1.464</v>
      </c>
      <c r="H22" s="71">
        <f>F22/D22*100</f>
        <v>68.318367933338124</v>
      </c>
      <c r="J22" s="70">
        <f>E22*(B22/3600)^0.5/(C22)^0.75</f>
        <v>51.56303669679874</v>
      </c>
      <c r="K22" s="44">
        <f t="shared" si="0"/>
        <v>3.9428050727059176</v>
      </c>
      <c r="L22" s="71">
        <f>LN(B22)</f>
        <v>7.3753154253536231</v>
      </c>
      <c r="M22" s="73">
        <f xml:space="preserve"> -11.48*(K22^2) - 0.85*(L22^2) - 0.38*K22*L22 + 88.59*K22 + 13.46*L22 - H22</f>
        <v>144.49553735691899</v>
      </c>
      <c r="N22" s="73">
        <f>'原始數據 汰換前'!$N$29</f>
        <v>161.07204272003531</v>
      </c>
      <c r="O22" s="79">
        <f xml:space="preserve"> -11.48*(K22^2) - 0.85*(L22^2) - 0.38*K22*L22 + 88.59*K22 + 13.46*L22 - N22</f>
        <v>51.741862570221798</v>
      </c>
      <c r="P22" s="80">
        <f>F22/(O22/100)</f>
        <v>551.42583940185546</v>
      </c>
      <c r="Q22" s="81">
        <f>ROUND(P22/F22,3)</f>
        <v>1.9330000000000001</v>
      </c>
      <c r="S22" s="32">
        <f>(P22-D22)/P22</f>
        <v>0.24263614404973649</v>
      </c>
    </row>
    <row r="23" spans="1:19" ht="16.5" x14ac:dyDescent="0.25">
      <c r="A23" s="7">
        <v>21</v>
      </c>
      <c r="B23" s="68">
        <v>1601.6206</v>
      </c>
      <c r="C23" s="7">
        <v>65.510000000000005</v>
      </c>
      <c r="D23" s="7">
        <v>417.77</v>
      </c>
      <c r="E23" s="24">
        <v>1785</v>
      </c>
      <c r="F23" s="70">
        <f>ROUND((1000)*9.81*C23*B23/3600/1000,3)</f>
        <v>285.91300000000001</v>
      </c>
      <c r="G23" s="44">
        <f>ROUND(D23/F23,3)</f>
        <v>1.4610000000000001</v>
      </c>
      <c r="H23" s="71">
        <f>F23/D23*100</f>
        <v>68.437896450199872</v>
      </c>
      <c r="J23" s="70">
        <f>E23*(B23/3600)^0.5/(C23)^0.75</f>
        <v>51.705422773085388</v>
      </c>
      <c r="K23" s="44">
        <f t="shared" si="0"/>
        <v>3.9455626652418503</v>
      </c>
      <c r="L23" s="71">
        <f>LN(B23)</f>
        <v>7.3787712706161015</v>
      </c>
      <c r="M23" s="73">
        <f xml:space="preserve"> -11.48*(K23^2) - 0.85*(L23^2) - 0.38*K23*L23 + 88.59*K23 + 13.46*L23 - H23</f>
        <v>144.36084675752019</v>
      </c>
      <c r="N23" s="73">
        <f>'原始數據 汰換前'!$N$29</f>
        <v>161.07204272003531</v>
      </c>
      <c r="O23" s="79">
        <f xml:space="preserve"> -11.48*(K23^2) - 0.85*(L23^2) - 0.38*K23*L23 + 88.59*K23 + 13.46*L23 - N23</f>
        <v>51.726700487684752</v>
      </c>
      <c r="P23" s="80">
        <f>F23/(O23/100)</f>
        <v>552.73774917862977</v>
      </c>
      <c r="Q23" s="81">
        <f>ROUND(P23/F23,3)</f>
        <v>1.9330000000000001</v>
      </c>
      <c r="S23" s="32">
        <f>(P23-D23)/P23</f>
        <v>0.24418044430508382</v>
      </c>
    </row>
    <row r="24" spans="1:19" ht="16.5" x14ac:dyDescent="0.25">
      <c r="A24" s="7">
        <v>22</v>
      </c>
      <c r="B24" s="68">
        <v>1610.0887</v>
      </c>
      <c r="C24" s="7">
        <v>65.709999999999994</v>
      </c>
      <c r="D24" s="7">
        <v>417.53999999999996</v>
      </c>
      <c r="E24" s="24">
        <v>1785</v>
      </c>
      <c r="F24" s="70">
        <f>ROUND((1000)*9.81*C24*B24/3600/1000,3)</f>
        <v>288.30200000000002</v>
      </c>
      <c r="G24" s="44">
        <f>ROUND(D24/F24,3)</f>
        <v>1.448</v>
      </c>
      <c r="H24" s="71">
        <f>F24/D24*100</f>
        <v>69.047755903626012</v>
      </c>
      <c r="J24" s="70">
        <f>E24*(B24/3600)^0.5/(C24)^0.75</f>
        <v>51.723543573404406</v>
      </c>
      <c r="K24" s="44">
        <f t="shared" si="0"/>
        <v>3.9459130661236248</v>
      </c>
      <c r="L24" s="71">
        <f>LN(B24)</f>
        <v>7.384044549628638</v>
      </c>
      <c r="M24" s="73">
        <f xml:space="preserve"> -11.48*(K24^2) - 0.85*(L24^2) - 0.38*K24*L24 + 88.59*K24 + 13.46*L24 - H24</f>
        <v>143.7462027040479</v>
      </c>
      <c r="N24" s="73">
        <f>'原始數據 汰換前'!$N$29</f>
        <v>161.07204272003531</v>
      </c>
      <c r="O24" s="79">
        <f xml:space="preserve"> -11.48*(K24^2) - 0.85*(L24^2) - 0.38*K24*L24 + 88.59*K24 + 13.46*L24 - N24</f>
        <v>51.721915887638602</v>
      </c>
      <c r="P24" s="80">
        <f>F24/(O24/100)</f>
        <v>557.40781263074484</v>
      </c>
      <c r="Q24" s="81">
        <f>ROUND(P24/F24,3)</f>
        <v>1.9330000000000001</v>
      </c>
      <c r="S24" s="32">
        <f>(P24-D24)/P24</f>
        <v>0.2509254615047895</v>
      </c>
    </row>
    <row r="25" spans="1:19" ht="16.5" x14ac:dyDescent="0.25">
      <c r="A25" s="7">
        <v>23</v>
      </c>
      <c r="B25" s="68">
        <v>1613.4103</v>
      </c>
      <c r="C25" s="7">
        <v>65.61</v>
      </c>
      <c r="D25" s="7">
        <v>417.74</v>
      </c>
      <c r="E25" s="24">
        <v>1785</v>
      </c>
      <c r="F25" s="70">
        <f>ROUND((1000)*9.81*C25*B25/3600/1000,3)</f>
        <v>288.45699999999999</v>
      </c>
      <c r="G25" s="44">
        <f>ROUND(D25/F25,3)</f>
        <v>1.448</v>
      </c>
      <c r="H25" s="71">
        <f>F25/D25*100</f>
        <v>69.051802556614163</v>
      </c>
      <c r="J25" s="70">
        <f>E25*(B25/3600)^0.5/(C25)^0.75</f>
        <v>51.836044535384424</v>
      </c>
      <c r="K25" s="44">
        <f t="shared" si="0"/>
        <v>3.948085747732156</v>
      </c>
      <c r="L25" s="71">
        <f>LN(B25)</f>
        <v>7.3861054165162141</v>
      </c>
      <c r="M25" s="73">
        <f xml:space="preserve"> -11.48*(K25^2) - 0.85*(L25^2) - 0.38*K25*L25 + 88.59*K25 + 13.46*L25 - H25</f>
        <v>143.73041634082756</v>
      </c>
      <c r="N25" s="73">
        <f>'原始數據 汰換前'!$N$29</f>
        <v>161.07204272003531</v>
      </c>
      <c r="O25" s="79">
        <f xml:space="preserve"> -11.48*(K25^2) - 0.85*(L25^2) - 0.38*K25*L25 + 88.59*K25 + 13.46*L25 - N25</f>
        <v>51.710176177406424</v>
      </c>
      <c r="P25" s="80">
        <f>F25/(O25/100)</f>
        <v>557.83410795269094</v>
      </c>
      <c r="Q25" s="81">
        <f>ROUND(P25/F25,3)</f>
        <v>1.9339999999999999</v>
      </c>
      <c r="S25" s="32">
        <f>(P25-D25)/P25</f>
        <v>0.25113937271933917</v>
      </c>
    </row>
    <row r="26" spans="1:19" ht="16.5" x14ac:dyDescent="0.25">
      <c r="A26" s="7">
        <v>24</v>
      </c>
      <c r="B26" s="68">
        <v>1614.7255</v>
      </c>
      <c r="C26" s="7">
        <v>65.61</v>
      </c>
      <c r="D26" s="7">
        <v>417.47</v>
      </c>
      <c r="E26" s="24">
        <v>1785</v>
      </c>
      <c r="F26" s="70">
        <f>ROUND((1000)*9.81*C26*B26/3600/1000,3)</f>
        <v>288.69200000000001</v>
      </c>
      <c r="G26" s="44">
        <f>ROUND(D26/F26,3)</f>
        <v>1.446</v>
      </c>
      <c r="H26" s="71">
        <f>F26/D26*100</f>
        <v>69.152753491268825</v>
      </c>
      <c r="J26" s="70">
        <f>E26*(B26/3600)^0.5/(C26)^0.75</f>
        <v>51.857167766705579</v>
      </c>
      <c r="K26" s="44">
        <f t="shared" si="0"/>
        <v>3.9484931655591167</v>
      </c>
      <c r="L26" s="71">
        <f>LN(B26)</f>
        <v>7.3869202521701354</v>
      </c>
      <c r="M26" s="73">
        <f xml:space="preserve"> -11.48*(K26^2) - 0.85*(L26^2) - 0.38*K26*L26 + 88.59*K26 + 13.46*L26 - H26</f>
        <v>143.62699464340341</v>
      </c>
      <c r="N26" s="73">
        <f>'原始數據 汰換前'!$N$29</f>
        <v>161.07204272003531</v>
      </c>
      <c r="O26" s="79">
        <f xml:space="preserve"> -11.48*(K26^2) - 0.85*(L26^2) - 0.38*K26*L26 + 88.59*K26 + 13.46*L26 - N26</f>
        <v>51.707705414636905</v>
      </c>
      <c r="P26" s="80">
        <f>F26/(O26/100)</f>
        <v>558.31524080409088</v>
      </c>
      <c r="Q26" s="81">
        <f>ROUND(P26/F26,3)</f>
        <v>1.9339999999999999</v>
      </c>
      <c r="S26" s="32">
        <f>(P26-D26)/P26</f>
        <v>0.25226830741937872</v>
      </c>
    </row>
    <row r="27" spans="1:19" ht="17.25" thickBot="1" x14ac:dyDescent="0.3">
      <c r="A27" s="7">
        <v>25</v>
      </c>
      <c r="B27" s="69">
        <v>1600.4138</v>
      </c>
      <c r="C27" s="8">
        <v>65.7</v>
      </c>
      <c r="D27" s="8">
        <v>417.27</v>
      </c>
      <c r="E27" s="38">
        <v>1785</v>
      </c>
      <c r="F27" s="70">
        <f>ROUND((1000)*9.81*C27*B27/3600/1000,3)</f>
        <v>286.52600000000001</v>
      </c>
      <c r="G27" s="67">
        <f>ROUND(D27/F27,3)</f>
        <v>1.456</v>
      </c>
      <c r="H27" s="72">
        <f>F27/D27*100</f>
        <v>68.666810458456169</v>
      </c>
      <c r="J27" s="74">
        <f>E27*(B27/3600)^0.5/(C27)^0.75</f>
        <v>51.573794645038227</v>
      </c>
      <c r="K27" s="67">
        <f t="shared" si="0"/>
        <v>3.9430136877688109</v>
      </c>
      <c r="L27" s="72">
        <f>LN(B27)</f>
        <v>7.3780174997901922</v>
      </c>
      <c r="M27" s="75">
        <f xml:space="preserve"> -11.48*(K27^2) - 0.85*(L27^2) - 0.38*K27*L27 + 88.59*K27 + 13.46*L27 - H27</f>
        <v>144.1445419853456</v>
      </c>
      <c r="N27" s="73">
        <f>'原始數據 汰換前'!$N$29</f>
        <v>161.07204272003531</v>
      </c>
      <c r="O27" s="82">
        <f xml:space="preserve"> -11.48*(K27^2) - 0.85*(L27^2) - 0.38*K27*L27 + 88.59*K27 + 13.46*L27 - N27</f>
        <v>51.739309723766439</v>
      </c>
      <c r="P27" s="83">
        <f>F27/(O27/100)</f>
        <v>553.78782888629144</v>
      </c>
      <c r="Q27" s="84">
        <f>ROUND(P27/F27,3)</f>
        <v>1.9330000000000001</v>
      </c>
      <c r="S27" s="33">
        <f>(P27-D27)/P27</f>
        <v>0.24651648477150351</v>
      </c>
    </row>
    <row r="28" spans="1:19" ht="16.5" x14ac:dyDescent="0.25">
      <c r="A28" s="7">
        <v>26</v>
      </c>
      <c r="B28" s="1"/>
      <c r="C28" s="1"/>
      <c r="D28" s="1"/>
      <c r="E28" s="1"/>
      <c r="F28" s="1"/>
      <c r="G28" s="1"/>
      <c r="H28" s="1"/>
    </row>
    <row r="29" spans="1:19" ht="16.5" x14ac:dyDescent="0.25">
      <c r="A29" s="7">
        <v>27</v>
      </c>
    </row>
    <row r="30" spans="1:19" ht="16.5" x14ac:dyDescent="0.25">
      <c r="A30" s="7">
        <v>28</v>
      </c>
    </row>
    <row r="31" spans="1:19" ht="16.5" x14ac:dyDescent="0.25">
      <c r="A31" s="7">
        <v>29</v>
      </c>
    </row>
    <row r="32" spans="1:19" ht="16.5" x14ac:dyDescent="0.25">
      <c r="A32" s="7">
        <v>30</v>
      </c>
    </row>
    <row r="33" spans="1:1" ht="16.5" x14ac:dyDescent="0.25">
      <c r="A33" s="7">
        <v>31</v>
      </c>
    </row>
    <row r="34" spans="1:1" ht="16.5" x14ac:dyDescent="0.25">
      <c r="A34" s="7">
        <v>32</v>
      </c>
    </row>
    <row r="35" spans="1:1" ht="16.5" x14ac:dyDescent="0.25">
      <c r="A35" s="7">
        <v>33</v>
      </c>
    </row>
    <row r="36" spans="1:1" ht="16.5" x14ac:dyDescent="0.25">
      <c r="A36" s="7">
        <v>34</v>
      </c>
    </row>
    <row r="37" spans="1:1" ht="16.5" x14ac:dyDescent="0.25">
      <c r="A37" s="7">
        <v>35</v>
      </c>
    </row>
    <row r="38" spans="1:1" ht="16.5" x14ac:dyDescent="0.25">
      <c r="A38" s="7">
        <v>36</v>
      </c>
    </row>
    <row r="39" spans="1:1" ht="16.5" x14ac:dyDescent="0.25">
      <c r="A39" s="7">
        <v>37</v>
      </c>
    </row>
    <row r="40" spans="1:1" ht="16.5" x14ac:dyDescent="0.25">
      <c r="A40" s="7">
        <v>38</v>
      </c>
    </row>
    <row r="41" spans="1:1" ht="16.5" x14ac:dyDescent="0.25">
      <c r="A41" s="7">
        <v>39</v>
      </c>
    </row>
    <row r="42" spans="1:1" ht="16.5" x14ac:dyDescent="0.25">
      <c r="A42" s="7">
        <v>40</v>
      </c>
    </row>
    <row r="43" spans="1:1" ht="16.5" x14ac:dyDescent="0.25">
      <c r="A43" s="7">
        <v>41</v>
      </c>
    </row>
    <row r="44" spans="1:1" ht="16.5" x14ac:dyDescent="0.25">
      <c r="A44" s="7">
        <v>42</v>
      </c>
    </row>
    <row r="45" spans="1:1" ht="16.5" x14ac:dyDescent="0.25">
      <c r="A45" s="7">
        <v>43</v>
      </c>
    </row>
    <row r="46" spans="1:1" ht="16.5" x14ac:dyDescent="0.25">
      <c r="A46" s="7">
        <v>44</v>
      </c>
    </row>
    <row r="47" spans="1:1" ht="16.5" x14ac:dyDescent="0.25">
      <c r="A47" s="7">
        <v>45</v>
      </c>
    </row>
    <row r="48" spans="1:1" ht="16.5" x14ac:dyDescent="0.25">
      <c r="A48" s="7">
        <v>46</v>
      </c>
    </row>
    <row r="49" spans="1:3" ht="16.5" x14ac:dyDescent="0.25">
      <c r="A49" s="7">
        <v>47</v>
      </c>
    </row>
    <row r="50" spans="1:3" ht="16.5" x14ac:dyDescent="0.25">
      <c r="A50" s="7">
        <v>48</v>
      </c>
    </row>
    <row r="51" spans="1:3" ht="16.5" x14ac:dyDescent="0.25">
      <c r="A51" s="7">
        <v>49</v>
      </c>
    </row>
    <row r="52" spans="1:3" ht="16.5" x14ac:dyDescent="0.25">
      <c r="A52" s="7">
        <v>50</v>
      </c>
    </row>
    <row r="55" spans="1:3" x14ac:dyDescent="0.25">
      <c r="B55">
        <v>25.5</v>
      </c>
      <c r="C55">
        <v>0</v>
      </c>
    </row>
    <row r="56" spans="1:3" x14ac:dyDescent="0.25">
      <c r="B56">
        <v>25.5</v>
      </c>
      <c r="C56">
        <v>3</v>
      </c>
    </row>
  </sheetData>
  <mergeCells count="3">
    <mergeCell ref="B1:E1"/>
    <mergeCell ref="N1:S1"/>
    <mergeCell ref="F1:H1"/>
  </mergeCells>
  <phoneticPr fontId="3" type="noConversion"/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253C0-25A2-4FB7-AEFB-E54016084EBF}">
  <dimension ref="A1:AG42"/>
  <sheetViews>
    <sheetView zoomScale="85" zoomScaleNormal="85" workbookViewId="0">
      <selection activeCell="N33" sqref="N33"/>
    </sheetView>
  </sheetViews>
  <sheetFormatPr defaultRowHeight="15.75" x14ac:dyDescent="0.25"/>
  <cols>
    <col min="1" max="6" width="16" customWidth="1"/>
    <col min="16" max="17" width="16" customWidth="1"/>
    <col min="18" max="18" width="11" bestFit="1" customWidth="1"/>
    <col min="19" max="19" width="9.28515625" bestFit="1" customWidth="1"/>
    <col min="20" max="21" width="16" customWidth="1"/>
    <col min="22" max="22" width="18.85546875" customWidth="1"/>
    <col min="23" max="31" width="16" customWidth="1"/>
  </cols>
  <sheetData>
    <row r="1" spans="1:31" ht="28.5" thickBot="1" x14ac:dyDescent="0.45">
      <c r="A1" s="55" t="s">
        <v>41</v>
      </c>
      <c r="B1" s="56"/>
      <c r="C1" s="56"/>
      <c r="D1" s="56"/>
      <c r="E1" s="56"/>
      <c r="F1" s="56"/>
      <c r="G1" s="56"/>
      <c r="H1" s="56"/>
      <c r="I1" s="57"/>
      <c r="J1" s="42"/>
      <c r="K1" s="55" t="s">
        <v>42</v>
      </c>
      <c r="L1" s="56"/>
      <c r="M1" s="56"/>
      <c r="N1" s="56"/>
      <c r="O1" s="57"/>
      <c r="P1" s="55" t="s">
        <v>37</v>
      </c>
      <c r="Q1" s="56"/>
      <c r="R1" s="56"/>
      <c r="S1" s="57"/>
      <c r="T1" s="42"/>
      <c r="U1" s="42"/>
      <c r="V1" s="42"/>
      <c r="W1" s="55" t="s">
        <v>43</v>
      </c>
      <c r="X1" s="56"/>
      <c r="Y1" s="56"/>
      <c r="Z1" s="56"/>
      <c r="AA1" s="56"/>
      <c r="AB1" s="57"/>
    </row>
    <row r="2" spans="1:31" ht="16.5" thickBot="1" x14ac:dyDescent="0.3">
      <c r="A2" s="52" t="s">
        <v>36</v>
      </c>
      <c r="B2" s="53"/>
      <c r="C2" s="53"/>
      <c r="D2" s="53"/>
      <c r="E2" s="53"/>
      <c r="F2" s="54"/>
      <c r="G2" s="1" t="s">
        <v>24</v>
      </c>
      <c r="H2" s="1" t="s">
        <v>21</v>
      </c>
      <c r="I2" s="1" t="s">
        <v>21</v>
      </c>
      <c r="K2" s="49" t="s">
        <v>35</v>
      </c>
      <c r="L2" s="50"/>
      <c r="M2" s="50"/>
      <c r="N2" s="50"/>
      <c r="O2" s="50"/>
      <c r="P2" s="43" t="s">
        <v>17</v>
      </c>
      <c r="Q2" s="1" t="s">
        <v>24</v>
      </c>
      <c r="R2" s="1" t="s">
        <v>21</v>
      </c>
      <c r="S2" s="1" t="s">
        <v>21</v>
      </c>
      <c r="T2" s="1"/>
      <c r="U2" s="1"/>
      <c r="V2" s="1"/>
      <c r="W2" s="49" t="s">
        <v>19</v>
      </c>
      <c r="X2" s="50"/>
      <c r="Y2" s="50"/>
      <c r="Z2" s="50"/>
      <c r="AA2" s="50"/>
      <c r="AB2" s="51"/>
      <c r="AC2" s="1"/>
      <c r="AD2" s="1"/>
      <c r="AE2" s="1"/>
    </row>
    <row r="3" spans="1:31" ht="16.5" x14ac:dyDescent="0.25">
      <c r="A3" s="9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17" t="s">
        <v>20</v>
      </c>
      <c r="G3" s="20">
        <v>1</v>
      </c>
      <c r="H3" s="26" t="s">
        <v>23</v>
      </c>
      <c r="I3" s="4" t="s">
        <v>22</v>
      </c>
      <c r="K3" s="9" t="s">
        <v>0</v>
      </c>
      <c r="L3" s="2" t="s">
        <v>1</v>
      </c>
      <c r="M3" s="2" t="s">
        <v>2</v>
      </c>
      <c r="N3" s="2" t="s">
        <v>3</v>
      </c>
      <c r="O3" s="2" t="s">
        <v>4</v>
      </c>
      <c r="P3" s="36" t="s">
        <v>18</v>
      </c>
      <c r="Q3" s="20">
        <v>1</v>
      </c>
      <c r="R3" s="26" t="s">
        <v>23</v>
      </c>
      <c r="S3" s="27" t="s">
        <v>22</v>
      </c>
      <c r="T3" s="20"/>
      <c r="U3" s="20"/>
      <c r="V3" s="1"/>
      <c r="W3" s="9" t="s">
        <v>5</v>
      </c>
      <c r="X3" s="2" t="s">
        <v>6</v>
      </c>
      <c r="Y3" s="2" t="s">
        <v>7</v>
      </c>
      <c r="Z3" s="2" t="s">
        <v>8</v>
      </c>
      <c r="AA3" s="2" t="s">
        <v>9</v>
      </c>
      <c r="AB3" s="17" t="s">
        <v>10</v>
      </c>
      <c r="AC3" s="1"/>
    </row>
    <row r="4" spans="1:31" ht="17.25" thickBot="1" x14ac:dyDescent="0.3">
      <c r="A4" s="21">
        <f>'原始數據 汰換前'!B3</f>
        <v>1412.07</v>
      </c>
      <c r="B4" s="60">
        <f>'原始數據 汰換前'!B3^2</f>
        <v>1993941.6848999998</v>
      </c>
      <c r="C4" s="61">
        <f>'原始數據 汰換前'!C3</f>
        <v>53.792758305493265</v>
      </c>
      <c r="D4" s="60">
        <f>'原始數據 汰換前'!C3^2</f>
        <v>2893.6608461132146</v>
      </c>
      <c r="E4" s="60">
        <f>'原始數據 汰換前'!B3*'原始數據 汰換前'!C3</f>
        <v>75959.140220437868</v>
      </c>
      <c r="F4" s="34">
        <f>'原始數據 汰換前'!D3</f>
        <v>404</v>
      </c>
      <c r="G4" s="1"/>
      <c r="H4" s="28">
        <f t="shared" ref="H4:H28" si="0">ROUND(($Q$3*1000)*9.81*C4*A4/3600/1000,3)</f>
        <v>206.989</v>
      </c>
      <c r="I4" s="7">
        <f t="shared" ref="I4:I28" si="1">ROUND(F4/H4,3)</f>
        <v>1.952</v>
      </c>
      <c r="K4" s="28">
        <v>1608.4339</v>
      </c>
      <c r="L4" s="11">
        <f>K4^2</f>
        <v>2587059.6106692101</v>
      </c>
      <c r="M4" s="7">
        <v>65.709999999999994</v>
      </c>
      <c r="N4" s="11">
        <f>M4^2</f>
        <v>4317.8040999999994</v>
      </c>
      <c r="O4" s="11">
        <f>K4*M4</f>
        <v>105690.19156899999</v>
      </c>
      <c r="P4" s="85">
        <f t="shared" ref="P4:P28" si="2">$AB$4+$AA$4*K4+$Z$4*L4+$Y$4*M4+$X$4*N4+$W$4*O4</f>
        <v>-380.13181522136148</v>
      </c>
      <c r="Q4" s="1"/>
      <c r="R4" s="28">
        <f>ROUND(($Q$3*1000)*9.81*M4*K4/3600/1000,3)</f>
        <v>288.00599999999997</v>
      </c>
      <c r="S4" s="29">
        <f t="shared" ref="S4:S28" si="3">ROUND(P4/R4,3)</f>
        <v>-1.32</v>
      </c>
      <c r="T4" s="1"/>
      <c r="U4" s="1"/>
      <c r="V4" s="15"/>
      <c r="W4" s="13" cm="1">
        <f t="array" ref="W4:AB4">LINEST(F4:F28,A4:E28,TRUE, FALSE)</f>
        <v>-2.8066332530726556E-4</v>
      </c>
      <c r="X4" s="14">
        <v>-4.708824592694576</v>
      </c>
      <c r="Y4" s="14">
        <v>505.54532878239905</v>
      </c>
      <c r="Z4" s="14">
        <v>-2.5895184485645595E-3</v>
      </c>
      <c r="AA4" s="14">
        <v>7.3420221529806984</v>
      </c>
      <c r="AB4" s="18">
        <v>-18347.98861241819</v>
      </c>
      <c r="AC4" s="1"/>
    </row>
    <row r="5" spans="1:31" ht="16.5" x14ac:dyDescent="0.25">
      <c r="A5" s="21">
        <f>'原始數據 汰換前'!B4</f>
        <v>1417.19</v>
      </c>
      <c r="B5" s="60">
        <f>'原始數據 汰換前'!B4^2</f>
        <v>2008427.4961000001</v>
      </c>
      <c r="C5" s="61">
        <f>'原始數據 汰換前'!C4</f>
        <v>53.795613115727534</v>
      </c>
      <c r="D5" s="60">
        <f>'原始數據 汰換前'!C4^2</f>
        <v>2893.9679904970362</v>
      </c>
      <c r="E5" s="60">
        <f>'原始數據 汰換前'!B4*'原始數據 汰換前'!C4</f>
        <v>76238.604951477901</v>
      </c>
      <c r="F5" s="34">
        <f>'原始數據 汰換前'!D4</f>
        <v>403.75</v>
      </c>
      <c r="G5" s="1"/>
      <c r="H5" s="28">
        <f t="shared" si="0"/>
        <v>207.75</v>
      </c>
      <c r="I5" s="7">
        <f t="shared" si="1"/>
        <v>1.9430000000000001</v>
      </c>
      <c r="K5" s="28">
        <v>1608.4376999999999</v>
      </c>
      <c r="L5" s="11">
        <f t="shared" ref="L5:N28" si="4">K5^2</f>
        <v>2587071.83478129</v>
      </c>
      <c r="M5" s="7">
        <v>65.709999999999994</v>
      </c>
      <c r="N5" s="11">
        <f t="shared" si="4"/>
        <v>4317.8040999999994</v>
      </c>
      <c r="O5" s="11">
        <f t="shared" ref="O5:O28" si="5">K5*M5</f>
        <v>105690.44126699999</v>
      </c>
      <c r="P5" s="85">
        <f t="shared" si="2"/>
        <v>-380.13564018199872</v>
      </c>
      <c r="Q5" s="1"/>
      <c r="R5" s="28">
        <f t="shared" ref="R5:R28" si="6">ROUND(($Q$3*1000)*9.81*M5*K5/3600/1000,3)</f>
        <v>288.00599999999997</v>
      </c>
      <c r="S5" s="29">
        <f t="shared" si="3"/>
        <v>-1.32</v>
      </c>
      <c r="T5" s="1"/>
      <c r="U5" s="1"/>
      <c r="V5" s="15"/>
      <c r="W5" s="1"/>
      <c r="X5" s="1"/>
      <c r="Y5" s="1"/>
      <c r="Z5" s="1"/>
      <c r="AA5" s="1"/>
      <c r="AB5" s="1"/>
      <c r="AC5" s="1"/>
    </row>
    <row r="6" spans="1:31" ht="17.25" thickBot="1" x14ac:dyDescent="0.3">
      <c r="A6" s="21">
        <f>'原始數據 汰換前'!B5</f>
        <v>1416.9</v>
      </c>
      <c r="B6" s="60">
        <f>'原始數據 汰換前'!B5^2</f>
        <v>2007605.6100000003</v>
      </c>
      <c r="C6" s="61">
        <f>'原始數據 汰換前'!C5</f>
        <v>53.795452786447861</v>
      </c>
      <c r="D6" s="60">
        <f>'原始數據 汰換前'!C5^2</f>
        <v>2893.9507404989408</v>
      </c>
      <c r="E6" s="60">
        <f>'原始數據 汰換前'!B5*'原始數據 汰換前'!C5</f>
        <v>76222.777053117985</v>
      </c>
      <c r="F6" s="34">
        <f>'原始數據 汰換前'!D5</f>
        <v>403.54999999999995</v>
      </c>
      <c r="G6" s="1"/>
      <c r="H6" s="28">
        <f t="shared" si="0"/>
        <v>207.70699999999999</v>
      </c>
      <c r="I6" s="7">
        <f t="shared" si="1"/>
        <v>1.9430000000000001</v>
      </c>
      <c r="K6" s="28">
        <v>1593.1179999999999</v>
      </c>
      <c r="L6" s="11">
        <f t="shared" si="4"/>
        <v>2538024.9619239997</v>
      </c>
      <c r="M6" s="7">
        <v>65.7</v>
      </c>
      <c r="N6" s="11">
        <f t="shared" si="4"/>
        <v>4316.4900000000007</v>
      </c>
      <c r="O6" s="11">
        <f t="shared" si="5"/>
        <v>104667.8526</v>
      </c>
      <c r="P6" s="85">
        <f t="shared" si="2"/>
        <v>-364.18601860552468</v>
      </c>
      <c r="Q6" s="1"/>
      <c r="R6" s="28">
        <f t="shared" si="6"/>
        <v>285.22000000000003</v>
      </c>
      <c r="S6" s="29">
        <f t="shared" si="3"/>
        <v>-1.2769999999999999</v>
      </c>
      <c r="T6" s="1"/>
      <c r="U6" s="1"/>
      <c r="V6" s="15"/>
      <c r="W6" s="1"/>
      <c r="X6" s="1"/>
      <c r="Y6" s="1"/>
      <c r="Z6" s="1"/>
      <c r="AA6" s="1"/>
      <c r="AB6" s="1"/>
      <c r="AC6" s="1"/>
      <c r="AD6" s="1"/>
      <c r="AE6" s="1"/>
    </row>
    <row r="7" spans="1:31" ht="16.5" x14ac:dyDescent="0.25">
      <c r="A7" s="21">
        <f>'原始數據 汰換前'!B6</f>
        <v>1412.98</v>
      </c>
      <c r="B7" s="60">
        <f>'原始數據 汰換前'!B6^2</f>
        <v>1996512.4804</v>
      </c>
      <c r="C7" s="61">
        <f>'原始數據 汰換前'!C6</f>
        <v>53.793264301118995</v>
      </c>
      <c r="D7" s="60">
        <f>'原始數據 汰換前'!C6^2</f>
        <v>2893.7152841700431</v>
      </c>
      <c r="E7" s="60">
        <f>'原始數據 汰換前'!B6*'原始數據 汰換前'!C6</f>
        <v>76008.80659219512</v>
      </c>
      <c r="F7" s="34">
        <f>'原始數據 汰換前'!D6</f>
        <v>403.56</v>
      </c>
      <c r="G7" s="1"/>
      <c r="H7" s="28">
        <f t="shared" si="0"/>
        <v>207.124</v>
      </c>
      <c r="I7" s="7">
        <f t="shared" si="1"/>
        <v>1.948</v>
      </c>
      <c r="K7" s="28">
        <v>1600.2856999999999</v>
      </c>
      <c r="L7" s="11">
        <f t="shared" si="4"/>
        <v>2560914.3216244895</v>
      </c>
      <c r="M7" s="7">
        <v>65.7</v>
      </c>
      <c r="N7" s="11">
        <f t="shared" si="4"/>
        <v>4316.4900000000007</v>
      </c>
      <c r="O7" s="11">
        <f t="shared" si="5"/>
        <v>105138.77049</v>
      </c>
      <c r="P7" s="85">
        <f t="shared" si="2"/>
        <v>-370.96519502080628</v>
      </c>
      <c r="Q7" s="1"/>
      <c r="R7" s="28">
        <f t="shared" si="6"/>
        <v>286.50299999999999</v>
      </c>
      <c r="S7" s="29">
        <f t="shared" si="3"/>
        <v>-1.2949999999999999</v>
      </c>
      <c r="T7" s="1"/>
      <c r="U7" s="1"/>
      <c r="V7" s="15"/>
      <c r="W7" s="1"/>
      <c r="X7" s="1"/>
      <c r="Y7" s="1"/>
      <c r="Z7" s="16"/>
      <c r="AA7" s="19"/>
      <c r="AB7" s="1"/>
      <c r="AC7" s="1"/>
      <c r="AD7" s="1"/>
      <c r="AE7" s="1"/>
    </row>
    <row r="8" spans="1:31" ht="16.5" x14ac:dyDescent="0.25">
      <c r="A8" s="21">
        <f>'原始數據 汰換前'!B7</f>
        <v>1413.02</v>
      </c>
      <c r="B8" s="60">
        <f>'原始數據 汰換前'!B7^2</f>
        <v>1996625.5204</v>
      </c>
      <c r="C8" s="61">
        <f>'原始數據 汰換前'!C7</f>
        <v>53.79328678995148</v>
      </c>
      <c r="D8" s="60">
        <f>'原始數據 汰換前'!C7^2</f>
        <v>2893.7177036659687</v>
      </c>
      <c r="E8" s="60">
        <f>'原始數據 汰換前'!B7*'原始數據 汰換前'!C7</f>
        <v>76010.990099937233</v>
      </c>
      <c r="F8" s="34">
        <f>'原始數據 汰換前'!D7</f>
        <v>403.65</v>
      </c>
      <c r="G8" s="1"/>
      <c r="H8" s="28">
        <f t="shared" si="0"/>
        <v>207.13</v>
      </c>
      <c r="I8" s="7">
        <f t="shared" si="1"/>
        <v>1.9490000000000001</v>
      </c>
      <c r="K8" s="28">
        <v>1593.1831999999999</v>
      </c>
      <c r="L8" s="11">
        <f t="shared" si="4"/>
        <v>2538232.7087622397</v>
      </c>
      <c r="M8" s="7">
        <v>65.599999999999994</v>
      </c>
      <c r="N8" s="11">
        <f t="shared" si="4"/>
        <v>4303.3599999999997</v>
      </c>
      <c r="O8" s="11">
        <f t="shared" si="5"/>
        <v>104512.81791999999</v>
      </c>
      <c r="P8" s="85">
        <f t="shared" si="2"/>
        <v>-352.92943645874027</v>
      </c>
      <c r="Q8" s="1"/>
      <c r="R8" s="28">
        <f t="shared" si="6"/>
        <v>284.79700000000003</v>
      </c>
      <c r="S8" s="29">
        <f t="shared" si="3"/>
        <v>-1.2390000000000001</v>
      </c>
      <c r="T8" s="1"/>
      <c r="U8" s="1"/>
      <c r="V8" s="15"/>
      <c r="W8" s="1"/>
      <c r="X8" s="1"/>
      <c r="Y8" s="1"/>
      <c r="Z8" s="12"/>
      <c r="AA8" s="10"/>
      <c r="AB8" s="1"/>
      <c r="AC8" s="1"/>
      <c r="AD8" s="1"/>
      <c r="AE8" s="1"/>
    </row>
    <row r="9" spans="1:31" ht="17.25" thickBot="1" x14ac:dyDescent="0.3">
      <c r="A9" s="21">
        <f>'原始數據 汰換前'!B8</f>
        <v>1411.29</v>
      </c>
      <c r="B9" s="60">
        <f>'原始數據 汰換前'!B8^2</f>
        <v>1991739.4641</v>
      </c>
      <c r="C9" s="61">
        <f>'原始數據 汰換前'!C8</f>
        <v>53.892325021006201</v>
      </c>
      <c r="D9" s="60">
        <f>'原始數據 汰換前'!C8^2</f>
        <v>2904.382696169771</v>
      </c>
      <c r="E9" s="60">
        <f>'原始數據 汰換前'!B8*'原始數據 汰換前'!C8</f>
        <v>76057.699378895835</v>
      </c>
      <c r="F9" s="34">
        <f>'原始數據 汰換前'!D8</f>
        <v>402.88</v>
      </c>
      <c r="G9" s="1"/>
      <c r="H9" s="28">
        <f t="shared" si="0"/>
        <v>207.25700000000001</v>
      </c>
      <c r="I9" s="7">
        <f t="shared" si="1"/>
        <v>1.944</v>
      </c>
      <c r="K9" s="28">
        <v>1614.0724</v>
      </c>
      <c r="L9" s="11">
        <f t="shared" si="4"/>
        <v>2605229.7124417601</v>
      </c>
      <c r="M9" s="7">
        <v>65.709999999999994</v>
      </c>
      <c r="N9" s="11">
        <f t="shared" si="4"/>
        <v>4317.8040999999994</v>
      </c>
      <c r="O9" s="11">
        <f t="shared" si="5"/>
        <v>106060.69740399999</v>
      </c>
      <c r="P9" s="85">
        <f t="shared" si="2"/>
        <v>-385.88962446378872</v>
      </c>
      <c r="Q9" s="1"/>
      <c r="R9" s="28">
        <f t="shared" si="6"/>
        <v>289.01499999999999</v>
      </c>
      <c r="S9" s="29">
        <f t="shared" si="3"/>
        <v>-1.335</v>
      </c>
      <c r="T9" s="1"/>
      <c r="U9" s="1"/>
      <c r="V9" s="15"/>
      <c r="W9" s="1"/>
      <c r="X9" s="1"/>
      <c r="Y9" s="1"/>
      <c r="Z9" s="13"/>
      <c r="AA9" s="18"/>
      <c r="AB9" s="1"/>
      <c r="AC9" s="1"/>
      <c r="AD9" s="1"/>
      <c r="AE9" s="1"/>
    </row>
    <row r="10" spans="1:31" ht="16.5" x14ac:dyDescent="0.25">
      <c r="A10" s="21">
        <f>'原始數據 汰換前'!B9</f>
        <v>1415.37</v>
      </c>
      <c r="B10" s="60">
        <f>'原始數據 汰換前'!B9^2</f>
        <v>2003272.2368999997</v>
      </c>
      <c r="C10" s="61">
        <f>'原始數據 汰換前'!C9</f>
        <v>53.894598877691379</v>
      </c>
      <c r="D10" s="60">
        <f>'原始數據 汰換前'!C9^2</f>
        <v>2904.6277881872529</v>
      </c>
      <c r="E10" s="60">
        <f>'原始數據 汰換前'!B9*'原始數據 汰換前'!C9</f>
        <v>76280.798413518045</v>
      </c>
      <c r="F10" s="34">
        <f>'原始數據 汰換前'!D9</f>
        <v>403.63</v>
      </c>
      <c r="G10" s="1"/>
      <c r="H10" s="28">
        <f t="shared" si="0"/>
        <v>207.86500000000001</v>
      </c>
      <c r="I10" s="7">
        <f t="shared" si="1"/>
        <v>1.9419999999999999</v>
      </c>
      <c r="K10" s="28">
        <v>1615.7692999999999</v>
      </c>
      <c r="L10" s="11">
        <f t="shared" si="4"/>
        <v>2610710.4308224898</v>
      </c>
      <c r="M10" s="7">
        <v>65.61</v>
      </c>
      <c r="N10" s="11">
        <f t="shared" si="4"/>
        <v>4304.6720999999998</v>
      </c>
      <c r="O10" s="11">
        <f t="shared" si="5"/>
        <v>106010.623773</v>
      </c>
      <c r="P10" s="85">
        <f t="shared" si="2"/>
        <v>-376.32756292587277</v>
      </c>
      <c r="Q10" s="1"/>
      <c r="R10" s="28">
        <f t="shared" si="6"/>
        <v>288.87900000000002</v>
      </c>
      <c r="S10" s="29">
        <f t="shared" si="3"/>
        <v>-1.3029999999999999</v>
      </c>
      <c r="T10" s="1"/>
      <c r="U10" s="1"/>
      <c r="V10" s="15"/>
      <c r="W10" s="1"/>
      <c r="X10" s="1"/>
      <c r="Y10" s="1"/>
      <c r="Z10" s="1"/>
      <c r="AA10" s="1"/>
      <c r="AB10" s="1"/>
      <c r="AC10" s="1"/>
      <c r="AD10" s="1"/>
      <c r="AE10" s="1"/>
    </row>
    <row r="11" spans="1:31" ht="16.5" x14ac:dyDescent="0.25">
      <c r="A11" s="21">
        <f>'原始數據 汰換前'!B10</f>
        <v>1411.7</v>
      </c>
      <c r="B11" s="60">
        <f>'原始數據 汰換前'!B10^2</f>
        <v>1992896.8900000001</v>
      </c>
      <c r="C11" s="61">
        <f>'原始數據 汰換前'!C10</f>
        <v>53.892552172180622</v>
      </c>
      <c r="D11" s="60">
        <f>'原始數據 汰換前'!C10^2</f>
        <v>2904.4071796312101</v>
      </c>
      <c r="E11" s="60">
        <f>'原始數據 汰換前'!B10*'原始數據 汰換前'!C10</f>
        <v>76080.11590146739</v>
      </c>
      <c r="F11" s="34">
        <f>'原始數據 汰換前'!D10</f>
        <v>403.6</v>
      </c>
      <c r="G11" s="1"/>
      <c r="H11" s="28">
        <f t="shared" si="0"/>
        <v>207.31800000000001</v>
      </c>
      <c r="I11" s="7">
        <f t="shared" si="1"/>
        <v>1.9470000000000001</v>
      </c>
      <c r="K11" s="28">
        <v>1599.7775999999999</v>
      </c>
      <c r="L11" s="11">
        <f t="shared" si="4"/>
        <v>2559288.3694617595</v>
      </c>
      <c r="M11" s="7">
        <v>65.7</v>
      </c>
      <c r="N11" s="11">
        <f t="shared" si="4"/>
        <v>4316.4900000000007</v>
      </c>
      <c r="O11" s="11">
        <f t="shared" si="5"/>
        <v>105105.38832</v>
      </c>
      <c r="P11" s="85">
        <f t="shared" si="2"/>
        <v>-370.47587420402766</v>
      </c>
      <c r="Q11" s="1"/>
      <c r="R11" s="28">
        <f t="shared" si="6"/>
        <v>286.41199999999998</v>
      </c>
      <c r="S11" s="29">
        <f t="shared" si="3"/>
        <v>-1.294</v>
      </c>
      <c r="T11" s="1"/>
      <c r="U11" s="1"/>
      <c r="V11" s="15"/>
      <c r="W11" s="1"/>
      <c r="X11" s="1"/>
      <c r="Y11" s="1"/>
      <c r="Z11" s="1"/>
      <c r="AA11" s="1"/>
      <c r="AB11" s="1"/>
      <c r="AC11" s="1"/>
      <c r="AD11" s="1"/>
      <c r="AE11" s="1"/>
    </row>
    <row r="12" spans="1:31" ht="16.5" x14ac:dyDescent="0.25">
      <c r="A12" s="21">
        <f>'原始數據 汰換前'!B11</f>
        <v>1412.9</v>
      </c>
      <c r="B12" s="60">
        <f>'原始數據 汰換前'!B11^2</f>
        <v>1996286.4100000001</v>
      </c>
      <c r="C12" s="61">
        <f>'原始數據 汰換前'!C11</f>
        <v>53.893220382951235</v>
      </c>
      <c r="D12" s="60">
        <f>'原始數據 汰換前'!C11^2</f>
        <v>2904.4792032453506</v>
      </c>
      <c r="E12" s="60">
        <f>'原始數據 汰換前'!B11*'原始數據 汰換前'!C11</f>
        <v>76145.731079071804</v>
      </c>
      <c r="F12" s="34">
        <f>'原始數據 汰換前'!D11</f>
        <v>404.03999999999996</v>
      </c>
      <c r="G12" s="1"/>
      <c r="H12" s="28">
        <f t="shared" si="0"/>
        <v>207.49700000000001</v>
      </c>
      <c r="I12" s="7">
        <f t="shared" si="1"/>
        <v>1.9470000000000001</v>
      </c>
      <c r="K12" s="28">
        <v>1621.2203</v>
      </c>
      <c r="L12" s="11">
        <f t="shared" si="4"/>
        <v>2628355.2611320899</v>
      </c>
      <c r="M12" s="7">
        <v>65.72</v>
      </c>
      <c r="N12" s="11">
        <f t="shared" si="4"/>
        <v>4319.1184000000003</v>
      </c>
      <c r="O12" s="11">
        <f t="shared" si="5"/>
        <v>106546.59811599999</v>
      </c>
      <c r="P12" s="85">
        <f t="shared" si="2"/>
        <v>-394.56334866724694</v>
      </c>
      <c r="Q12" s="1"/>
      <c r="R12" s="28">
        <f t="shared" si="6"/>
        <v>290.339</v>
      </c>
      <c r="S12" s="29">
        <f t="shared" si="3"/>
        <v>-1.359</v>
      </c>
      <c r="T12" s="1"/>
      <c r="U12" s="1"/>
      <c r="V12" s="15"/>
      <c r="W12" s="1"/>
      <c r="X12" s="1"/>
      <c r="Y12" s="1"/>
      <c r="Z12" s="1"/>
      <c r="AA12" s="1"/>
      <c r="AB12" s="1"/>
      <c r="AC12" s="1"/>
      <c r="AD12" s="1"/>
      <c r="AE12" s="1"/>
    </row>
    <row r="13" spans="1:31" ht="16.5" x14ac:dyDescent="0.25">
      <c r="A13" s="21">
        <f>'原始數據 汰換前'!B12</f>
        <v>1409.6</v>
      </c>
      <c r="B13" s="60">
        <f>'原始數據 汰換前'!B12^2</f>
        <v>1986972.1599999997</v>
      </c>
      <c r="C13" s="61">
        <f>'原始數據 汰換前'!C12</f>
        <v>53.891384253951507</v>
      </c>
      <c r="D13" s="60">
        <f>'原始數據 汰換前'!C12^2</f>
        <v>2904.2812968070525</v>
      </c>
      <c r="E13" s="60">
        <f>'原始數據 汰換前'!B12*'原始數據 汰換前'!C12</f>
        <v>75965.295244370034</v>
      </c>
      <c r="F13" s="34">
        <f>'原始數據 汰換前'!D12</f>
        <v>403.15999999999997</v>
      </c>
      <c r="G13" s="1"/>
      <c r="H13" s="28">
        <f t="shared" si="0"/>
        <v>207.005</v>
      </c>
      <c r="I13" s="7">
        <f t="shared" si="1"/>
        <v>1.948</v>
      </c>
      <c r="K13" s="28">
        <v>1601.1041</v>
      </c>
      <c r="L13" s="11">
        <f t="shared" si="4"/>
        <v>2563534.3390368102</v>
      </c>
      <c r="M13" s="7">
        <v>65.7</v>
      </c>
      <c r="N13" s="11">
        <f t="shared" si="4"/>
        <v>4316.4900000000007</v>
      </c>
      <c r="O13" s="11">
        <f t="shared" si="5"/>
        <v>105192.53937</v>
      </c>
      <c r="P13" s="85">
        <f t="shared" si="2"/>
        <v>-371.75615846823223</v>
      </c>
      <c r="Q13" s="1"/>
      <c r="R13" s="28">
        <f t="shared" si="6"/>
        <v>286.64999999999998</v>
      </c>
      <c r="S13" s="29">
        <f t="shared" si="3"/>
        <v>-1.2969999999999999</v>
      </c>
      <c r="T13" s="1"/>
      <c r="U13" s="1"/>
      <c r="V13" s="15"/>
      <c r="W13" s="1"/>
      <c r="X13" s="1"/>
      <c r="Y13" s="1"/>
      <c r="Z13" s="1"/>
      <c r="AA13" s="1"/>
      <c r="AB13" s="1"/>
      <c r="AC13" s="1"/>
      <c r="AD13" s="1"/>
      <c r="AE13" s="1"/>
    </row>
    <row r="14" spans="1:31" ht="16.5" x14ac:dyDescent="0.25">
      <c r="A14" s="21">
        <f>'原始數據 汰換前'!B13</f>
        <v>1412.29</v>
      </c>
      <c r="B14" s="60">
        <f>'原始數據 汰換前'!B13^2</f>
        <v>1994563.0440999998</v>
      </c>
      <c r="C14" s="61">
        <f>'原始數據 汰換前'!C13</f>
        <v>53.892879140558982</v>
      </c>
      <c r="D14" s="60">
        <f>'原始數據 汰換前'!C13^2</f>
        <v>2904.4424220588976</v>
      </c>
      <c r="E14" s="60">
        <f>'原始數據 汰換前'!B13*'原始數據 汰換前'!C13</f>
        <v>76112.374281420038</v>
      </c>
      <c r="F14" s="34">
        <f>'原始數據 汰換前'!D13</f>
        <v>403.7</v>
      </c>
      <c r="G14" s="1"/>
      <c r="H14" s="28">
        <f t="shared" si="0"/>
        <v>207.40600000000001</v>
      </c>
      <c r="I14" s="7">
        <f t="shared" si="1"/>
        <v>1.946</v>
      </c>
      <c r="K14" s="28">
        <v>1604.3116</v>
      </c>
      <c r="L14" s="11">
        <f t="shared" si="4"/>
        <v>2573815.7098945598</v>
      </c>
      <c r="M14" s="7">
        <v>65.709999999999994</v>
      </c>
      <c r="N14" s="11">
        <f t="shared" si="4"/>
        <v>4317.8040999999994</v>
      </c>
      <c r="O14" s="11">
        <f t="shared" si="5"/>
        <v>105419.31523599999</v>
      </c>
      <c r="P14" s="85">
        <f t="shared" si="2"/>
        <v>-376.02648270331088</v>
      </c>
      <c r="Q14" s="1"/>
      <c r="R14" s="28">
        <f t="shared" si="6"/>
        <v>287.26799999999997</v>
      </c>
      <c r="S14" s="29">
        <f t="shared" si="3"/>
        <v>-1.3089999999999999</v>
      </c>
      <c r="T14" s="1"/>
      <c r="U14" s="1"/>
      <c r="V14" s="15"/>
      <c r="W14" s="1"/>
      <c r="X14" s="1"/>
      <c r="Y14" s="1"/>
      <c r="Z14" s="1"/>
      <c r="AA14" s="1"/>
      <c r="AB14" s="1"/>
      <c r="AC14" s="1"/>
      <c r="AD14" s="1"/>
      <c r="AE14" s="1"/>
    </row>
    <row r="15" spans="1:31" ht="16.5" x14ac:dyDescent="0.25">
      <c r="A15" s="21">
        <f>'原始數據 汰換前'!B14</f>
        <v>1410.35</v>
      </c>
      <c r="B15" s="60">
        <f>'原始數據 汰換前'!B14^2</f>
        <v>1989087.1224999998</v>
      </c>
      <c r="C15" s="61">
        <f>'原始數據 汰換前'!C14</f>
        <v>53.891803961790949</v>
      </c>
      <c r="D15" s="60">
        <f>'原始數據 汰換前'!C14^2</f>
        <v>2904.3265342561067</v>
      </c>
      <c r="E15" s="60">
        <f>'原始數據 汰換前'!B14*'原始數據 汰換前'!C14</f>
        <v>76006.305717511859</v>
      </c>
      <c r="F15" s="34">
        <f>'原始數據 汰換前'!D14</f>
        <v>403.85</v>
      </c>
      <c r="G15" s="1"/>
      <c r="H15" s="28">
        <f t="shared" si="0"/>
        <v>207.11699999999999</v>
      </c>
      <c r="I15" s="7">
        <f t="shared" si="1"/>
        <v>1.95</v>
      </c>
      <c r="K15" s="28">
        <v>1612.1137000000001</v>
      </c>
      <c r="L15" s="11">
        <f t="shared" si="4"/>
        <v>2598910.5817276905</v>
      </c>
      <c r="M15" s="7">
        <v>65.709999999999994</v>
      </c>
      <c r="N15" s="11">
        <f t="shared" si="4"/>
        <v>4317.8040999999994</v>
      </c>
      <c r="O15" s="11">
        <f t="shared" si="5"/>
        <v>105931.99122699999</v>
      </c>
      <c r="P15" s="85">
        <f t="shared" si="2"/>
        <v>-383.87081458823315</v>
      </c>
      <c r="Q15" s="1"/>
      <c r="R15" s="28">
        <f t="shared" si="6"/>
        <v>288.66500000000002</v>
      </c>
      <c r="S15" s="29">
        <f t="shared" si="3"/>
        <v>-1.33</v>
      </c>
      <c r="T15" s="1"/>
      <c r="U15" s="1"/>
      <c r="V15" s="15"/>
      <c r="W15" s="1"/>
      <c r="X15" s="1"/>
      <c r="Y15" s="1"/>
      <c r="Z15" s="1"/>
      <c r="AA15" s="1"/>
      <c r="AB15" s="1"/>
      <c r="AC15" s="1"/>
      <c r="AD15" s="1"/>
      <c r="AE15" s="1"/>
    </row>
    <row r="16" spans="1:31" ht="16.5" x14ac:dyDescent="0.25">
      <c r="A16" s="21">
        <f>'原始數據 汰換前'!B15</f>
        <v>1416.8</v>
      </c>
      <c r="B16" s="60">
        <f>'原始數據 汰換前'!B15^2</f>
        <v>2007322.2399999998</v>
      </c>
      <c r="C16" s="61">
        <f>'原始數據 汰換前'!C15</f>
        <v>53.795394010908062</v>
      </c>
      <c r="D16" s="60">
        <f>'原始數據 汰換前'!C15^2</f>
        <v>2893.9444167888428</v>
      </c>
      <c r="E16" s="60">
        <f>'原始數據 汰換前'!B15*'原始數據 汰換前'!C15</f>
        <v>76217.314234654536</v>
      </c>
      <c r="F16" s="34">
        <f>'原始數據 汰換前'!D15</f>
        <v>403.38</v>
      </c>
      <c r="G16" s="1"/>
      <c r="H16" s="28">
        <f t="shared" si="0"/>
        <v>207.69200000000001</v>
      </c>
      <c r="I16" s="7">
        <f t="shared" si="1"/>
        <v>1.9419999999999999</v>
      </c>
      <c r="K16" s="28">
        <v>1595.0748000000001</v>
      </c>
      <c r="L16" s="11">
        <f t="shared" si="4"/>
        <v>2544263.6175950402</v>
      </c>
      <c r="M16" s="7">
        <v>65.599999999999994</v>
      </c>
      <c r="N16" s="11">
        <f t="shared" si="4"/>
        <v>4303.3599999999997</v>
      </c>
      <c r="O16" s="11">
        <f t="shared" si="5"/>
        <v>104636.90687999999</v>
      </c>
      <c r="P16" s="85">
        <f t="shared" si="2"/>
        <v>-354.6932442584577</v>
      </c>
      <c r="Q16" s="1"/>
      <c r="R16" s="28">
        <f t="shared" si="6"/>
        <v>285.13600000000002</v>
      </c>
      <c r="S16" s="29">
        <f t="shared" si="3"/>
        <v>-1.244</v>
      </c>
      <c r="T16" s="1"/>
      <c r="U16" s="1"/>
      <c r="V16" s="15"/>
      <c r="W16" s="1"/>
      <c r="X16" s="1"/>
      <c r="Y16" s="1"/>
      <c r="Z16" s="1"/>
      <c r="AA16" s="1"/>
      <c r="AB16" s="1"/>
      <c r="AC16" s="1"/>
      <c r="AD16" s="1"/>
      <c r="AE16" s="1"/>
    </row>
    <row r="17" spans="1:33" ht="16.5" x14ac:dyDescent="0.25">
      <c r="A17" s="21">
        <f>'原始數據 汰換前'!B16</f>
        <v>1410.66</v>
      </c>
      <c r="B17" s="60">
        <f>'原始數據 汰換前'!B16^2</f>
        <v>1989961.6356000002</v>
      </c>
      <c r="C17" s="61">
        <f>'原始數據 汰換前'!C16</f>
        <v>53.591974664334423</v>
      </c>
      <c r="D17" s="60">
        <f>'原始數據 汰換前'!C16^2</f>
        <v>2872.0997484226627</v>
      </c>
      <c r="E17" s="60">
        <f>'原始數據 汰換前'!B16*'原始數據 汰換前'!C16</f>
        <v>75600.054979990004</v>
      </c>
      <c r="F17" s="34">
        <f>'原始數據 汰換前'!D16</f>
        <v>403.53999999999996</v>
      </c>
      <c r="G17" s="1"/>
      <c r="H17" s="28">
        <f t="shared" si="0"/>
        <v>206.01</v>
      </c>
      <c r="I17" s="7">
        <f t="shared" si="1"/>
        <v>1.9590000000000001</v>
      </c>
      <c r="K17" s="28">
        <v>1600.5617</v>
      </c>
      <c r="L17" s="11">
        <f t="shared" si="4"/>
        <v>2561797.7555068899</v>
      </c>
      <c r="M17" s="7">
        <v>65.5</v>
      </c>
      <c r="N17" s="11">
        <f t="shared" si="4"/>
        <v>4290.25</v>
      </c>
      <c r="O17" s="11">
        <f t="shared" si="5"/>
        <v>104836.79135</v>
      </c>
      <c r="P17" s="85">
        <f t="shared" si="2"/>
        <v>-348.69121921771733</v>
      </c>
      <c r="Q17" s="1"/>
      <c r="R17" s="28">
        <f t="shared" si="6"/>
        <v>285.68</v>
      </c>
      <c r="S17" s="29">
        <f t="shared" si="3"/>
        <v>-1.2210000000000001</v>
      </c>
      <c r="T17" s="1"/>
      <c r="U17" s="1"/>
      <c r="V17" s="15"/>
      <c r="W17" s="1"/>
      <c r="X17" s="1"/>
      <c r="Y17" s="1"/>
      <c r="Z17" s="1"/>
      <c r="AA17" s="1"/>
      <c r="AB17" s="1"/>
      <c r="AC17" s="1"/>
      <c r="AD17" s="1"/>
      <c r="AE17" s="1"/>
    </row>
    <row r="18" spans="1:33" ht="16.5" x14ac:dyDescent="0.25">
      <c r="A18" s="21">
        <f>'原始數據 汰換前'!B17</f>
        <v>1413.02</v>
      </c>
      <c r="B18" s="60">
        <f>'原始數據 汰換前'!B17^2</f>
        <v>1996625.5204</v>
      </c>
      <c r="C18" s="61">
        <f>'原始數據 汰換前'!C17</f>
        <v>53.593286066290908</v>
      </c>
      <c r="D18" s="60">
        <f>'原始數據 汰換前'!C17^2</f>
        <v>2872.2403113832911</v>
      </c>
      <c r="E18" s="60">
        <f>'原始數據 汰換前'!B17*'原始數據 汰換前'!C17</f>
        <v>75728.385077390383</v>
      </c>
      <c r="F18" s="34">
        <f>'原始數據 汰換前'!D17</f>
        <v>404</v>
      </c>
      <c r="G18" s="1"/>
      <c r="H18" s="28">
        <f t="shared" si="0"/>
        <v>206.36</v>
      </c>
      <c r="I18" s="7">
        <f t="shared" si="1"/>
        <v>1.958</v>
      </c>
      <c r="K18" s="28">
        <v>1601.4177</v>
      </c>
      <c r="L18" s="11">
        <f t="shared" si="4"/>
        <v>2564538.6498732897</v>
      </c>
      <c r="M18" s="7">
        <v>65.510000000000005</v>
      </c>
      <c r="N18" s="11">
        <f t="shared" si="4"/>
        <v>4291.5601000000006</v>
      </c>
      <c r="O18" s="11">
        <f t="shared" si="5"/>
        <v>104908.873527</v>
      </c>
      <c r="P18" s="85">
        <f t="shared" si="2"/>
        <v>-350.63785341667932</v>
      </c>
      <c r="Q18" s="1"/>
      <c r="R18" s="28">
        <f t="shared" si="6"/>
        <v>285.87700000000001</v>
      </c>
      <c r="S18" s="29">
        <f t="shared" si="3"/>
        <v>-1.2270000000000001</v>
      </c>
      <c r="T18" s="1"/>
      <c r="U18" s="1"/>
      <c r="V18" s="15"/>
      <c r="W18" s="1"/>
      <c r="X18" s="1"/>
      <c r="Y18" s="1"/>
      <c r="Z18" s="1"/>
      <c r="AA18" s="1"/>
      <c r="AB18" s="1"/>
      <c r="AC18" s="1"/>
      <c r="AD18" s="1"/>
      <c r="AE18" s="1"/>
    </row>
    <row r="19" spans="1:33" ht="16.5" x14ac:dyDescent="0.25">
      <c r="A19" s="21">
        <f>'原始數據 汰換前'!B18</f>
        <v>1413.72</v>
      </c>
      <c r="B19" s="60">
        <f>'原始數據 汰換前'!B18^2</f>
        <v>1998604.2384000001</v>
      </c>
      <c r="C19" s="61">
        <f>'原始數據 汰換前'!C18</f>
        <v>53.593679056253869</v>
      </c>
      <c r="D19" s="60">
        <f>'原始數據 汰換前'!C18^2</f>
        <v>2872.2824347847445</v>
      </c>
      <c r="E19" s="60">
        <f>'原始數據 汰換前'!B18*'原始數據 汰換前'!C18</f>
        <v>75766.455955407218</v>
      </c>
      <c r="F19" s="34">
        <f>'原始數據 汰換前'!D18</f>
        <v>403.57</v>
      </c>
      <c r="G19" s="1"/>
      <c r="H19" s="28">
        <f t="shared" si="0"/>
        <v>206.464</v>
      </c>
      <c r="I19" s="7">
        <f t="shared" si="1"/>
        <v>1.9550000000000001</v>
      </c>
      <c r="K19" s="28">
        <v>1600.9974</v>
      </c>
      <c r="L19" s="11">
        <f t="shared" si="4"/>
        <v>2563192.6748067597</v>
      </c>
      <c r="M19" s="7">
        <v>65.599999999999994</v>
      </c>
      <c r="N19" s="11">
        <f t="shared" si="4"/>
        <v>4303.3599999999997</v>
      </c>
      <c r="O19" s="11">
        <f t="shared" si="5"/>
        <v>105025.42943999999</v>
      </c>
      <c r="P19" s="85">
        <f t="shared" si="2"/>
        <v>-360.33557075254163</v>
      </c>
      <c r="Q19" s="1"/>
      <c r="R19" s="28">
        <f t="shared" si="6"/>
        <v>286.19400000000002</v>
      </c>
      <c r="S19" s="29">
        <f t="shared" si="3"/>
        <v>-1.2589999999999999</v>
      </c>
      <c r="T19" s="1"/>
      <c r="U19" s="1"/>
      <c r="V19" s="15"/>
      <c r="W19" s="1"/>
      <c r="X19" s="1"/>
      <c r="Y19" s="1"/>
      <c r="Z19" s="1"/>
      <c r="AA19" s="1"/>
      <c r="AB19" s="1"/>
      <c r="AC19" s="1"/>
      <c r="AD19" s="1"/>
      <c r="AE19" s="1"/>
    </row>
    <row r="20" spans="1:33" ht="16.5" x14ac:dyDescent="0.25">
      <c r="A20" s="21">
        <f>'原始數據 汰換前'!B19</f>
        <v>1411.54</v>
      </c>
      <c r="B20" s="60">
        <f>'原始數據 汰換前'!B19^2</f>
        <v>1992445.1716</v>
      </c>
      <c r="C20" s="61">
        <f>'原始數據 汰換前'!C19</f>
        <v>53.59246308327279</v>
      </c>
      <c r="D20" s="60">
        <f>'原始數據 汰換前'!C19^2</f>
        <v>2872.1520993319568</v>
      </c>
      <c r="E20" s="60">
        <f>'原始數據 汰換前'!B19*'原始數據 汰換前'!C19</f>
        <v>75647.905340562866</v>
      </c>
      <c r="F20" s="34">
        <f>'原始數據 汰換前'!D19</f>
        <v>404.13</v>
      </c>
      <c r="G20" s="1"/>
      <c r="H20" s="28">
        <f t="shared" si="0"/>
        <v>206.14099999999999</v>
      </c>
      <c r="I20" s="7">
        <f t="shared" si="1"/>
        <v>1.96</v>
      </c>
      <c r="K20" s="28">
        <v>1606.9521</v>
      </c>
      <c r="L20" s="11">
        <f t="shared" si="4"/>
        <v>2582295.0516944099</v>
      </c>
      <c r="M20" s="7">
        <v>65.61</v>
      </c>
      <c r="N20" s="11">
        <f t="shared" si="4"/>
        <v>4304.6720999999998</v>
      </c>
      <c r="O20" s="11">
        <f t="shared" si="5"/>
        <v>105432.12728099999</v>
      </c>
      <c r="P20" s="85">
        <f t="shared" si="2"/>
        <v>-367.31912942889056</v>
      </c>
      <c r="Q20" s="1"/>
      <c r="R20" s="28">
        <f t="shared" si="6"/>
        <v>287.303</v>
      </c>
      <c r="S20" s="29">
        <f t="shared" si="3"/>
        <v>-1.2789999999999999</v>
      </c>
      <c r="T20" s="1"/>
      <c r="U20" s="1"/>
      <c r="V20" s="15"/>
      <c r="W20" s="1"/>
      <c r="X20" s="1"/>
      <c r="Y20" s="1"/>
      <c r="Z20" s="1"/>
      <c r="AA20" s="1"/>
      <c r="AB20" s="1"/>
      <c r="AC20" s="1"/>
      <c r="AD20" s="1"/>
      <c r="AE20" s="1"/>
    </row>
    <row r="21" spans="1:33" ht="16.5" x14ac:dyDescent="0.25">
      <c r="A21" s="21">
        <f>'原始數據 汰換前'!B20</f>
        <v>1421.3</v>
      </c>
      <c r="B21" s="60">
        <f>'原始數據 汰換前'!B20^2</f>
        <v>2020093.69</v>
      </c>
      <c r="C21" s="61">
        <f>'原始數據 汰換前'!C20</f>
        <v>53.597911529300006</v>
      </c>
      <c r="D21" s="60">
        <f>'原始數據 汰換前'!C20^2</f>
        <v>2872.7361203026708</v>
      </c>
      <c r="E21" s="60">
        <f>'原始數據 汰換前'!B20*'原始數據 汰換前'!C20</f>
        <v>76178.711656594096</v>
      </c>
      <c r="F21" s="34">
        <f>'原始數據 汰換前'!D20</f>
        <v>403.74</v>
      </c>
      <c r="G21" s="1"/>
      <c r="H21" s="28">
        <f t="shared" si="0"/>
        <v>207.58699999999999</v>
      </c>
      <c r="I21" s="7">
        <f t="shared" si="1"/>
        <v>1.9450000000000001</v>
      </c>
      <c r="K21" s="28">
        <v>1592.9994999999999</v>
      </c>
      <c r="L21" s="11">
        <f t="shared" si="4"/>
        <v>2537647.4070002497</v>
      </c>
      <c r="M21" s="7">
        <v>65.7</v>
      </c>
      <c r="N21" s="11">
        <f t="shared" si="4"/>
        <v>4316.4900000000007</v>
      </c>
      <c r="O21" s="11">
        <f t="shared" si="5"/>
        <v>104660.06715</v>
      </c>
      <c r="P21" s="85">
        <f t="shared" si="2"/>
        <v>-364.07617769997142</v>
      </c>
      <c r="Q21" s="1"/>
      <c r="R21" s="28">
        <f t="shared" si="6"/>
        <v>285.19900000000001</v>
      </c>
      <c r="S21" s="29">
        <f t="shared" si="3"/>
        <v>-1.2769999999999999</v>
      </c>
      <c r="T21" s="1"/>
      <c r="U21" s="1"/>
      <c r="V21" s="15"/>
      <c r="W21" s="1"/>
      <c r="X21" s="1"/>
      <c r="Y21" s="1"/>
      <c r="Z21" s="1"/>
      <c r="AA21" s="1"/>
      <c r="AB21" s="1"/>
      <c r="AC21" s="1"/>
      <c r="AD21" s="1"/>
      <c r="AE21" s="1"/>
    </row>
    <row r="22" spans="1:33" ht="16.5" x14ac:dyDescent="0.25">
      <c r="A22" s="21">
        <f>'原始數據 汰換前'!B21</f>
        <v>1409.21</v>
      </c>
      <c r="B22" s="60">
        <f>'原始數據 汰換前'!B21^2</f>
        <v>1985872.8241000001</v>
      </c>
      <c r="C22" s="61">
        <f>'原始數據 汰換前'!C21</f>
        <v>53.591172208202259</v>
      </c>
      <c r="D22" s="60">
        <f>'原始數據 汰換前'!C21^2</f>
        <v>2872.0137386491901</v>
      </c>
      <c r="E22" s="60">
        <f>'原始數據 汰換前'!B21*'原始數據 汰換前'!C21</f>
        <v>75521.215787520705</v>
      </c>
      <c r="F22" s="34">
        <f>'原始數據 汰換前'!D21</f>
        <v>403.68</v>
      </c>
      <c r="G22" s="1"/>
      <c r="H22" s="28">
        <f t="shared" si="0"/>
        <v>205.79499999999999</v>
      </c>
      <c r="I22" s="7">
        <f t="shared" si="1"/>
        <v>1.962</v>
      </c>
      <c r="K22" s="28">
        <v>1608.1596</v>
      </c>
      <c r="L22" s="11">
        <f t="shared" si="4"/>
        <v>2586177.2990721599</v>
      </c>
      <c r="M22" s="7">
        <v>65.61</v>
      </c>
      <c r="N22" s="11">
        <f t="shared" si="4"/>
        <v>4304.6720999999998</v>
      </c>
      <c r="O22" s="11">
        <f t="shared" si="5"/>
        <v>105511.351356</v>
      </c>
      <c r="P22" s="85">
        <f t="shared" si="2"/>
        <v>-368.52902417807746</v>
      </c>
      <c r="Q22" s="1"/>
      <c r="R22" s="28">
        <f t="shared" si="6"/>
        <v>287.51799999999997</v>
      </c>
      <c r="S22" s="29">
        <f t="shared" si="3"/>
        <v>-1.282</v>
      </c>
      <c r="T22" s="1"/>
      <c r="U22" s="1"/>
      <c r="V22" s="15"/>
      <c r="W22" s="1"/>
      <c r="X22" s="1"/>
      <c r="Y22" s="1"/>
      <c r="Z22" s="1"/>
      <c r="AA22" s="1"/>
      <c r="AB22" s="1"/>
      <c r="AC22" s="1"/>
      <c r="AD22" s="1"/>
      <c r="AE22" s="1"/>
    </row>
    <row r="23" spans="1:33" ht="16.5" x14ac:dyDescent="0.25">
      <c r="A23" s="21">
        <f>'原始數據 汰換前'!B22</f>
        <v>1409.67</v>
      </c>
      <c r="B23" s="60">
        <f>'原始數據 汰換前'!B22^2</f>
        <v>1987169.5089000002</v>
      </c>
      <c r="C23" s="61">
        <f>'原始數據 汰換前'!C22</f>
        <v>53.691423626715626</v>
      </c>
      <c r="D23" s="60">
        <f>'原始數據 汰換前'!C22^2</f>
        <v>2882.7689710634368</v>
      </c>
      <c r="E23" s="60">
        <f>'原始數據 汰換前'!B22*'原始數據 汰換前'!C22</f>
        <v>75687.189143872223</v>
      </c>
      <c r="F23" s="34">
        <f>'原始數據 汰換前'!D22</f>
        <v>403.73</v>
      </c>
      <c r="G23" s="1"/>
      <c r="H23" s="28">
        <f t="shared" si="0"/>
        <v>206.24799999999999</v>
      </c>
      <c r="I23" s="7">
        <f t="shared" si="1"/>
        <v>1.9570000000000001</v>
      </c>
      <c r="K23" s="28">
        <v>1596.0952</v>
      </c>
      <c r="L23" s="11">
        <f t="shared" si="4"/>
        <v>2547519.8874630397</v>
      </c>
      <c r="M23" s="7">
        <v>65.599999999999994</v>
      </c>
      <c r="N23" s="11">
        <f t="shared" si="4"/>
        <v>4303.3599999999997</v>
      </c>
      <c r="O23" s="11">
        <f t="shared" si="5"/>
        <v>104703.84511999998</v>
      </c>
      <c r="P23" s="85">
        <f t="shared" si="2"/>
        <v>-355.65240285927615</v>
      </c>
      <c r="Q23" s="1"/>
      <c r="R23" s="28">
        <f t="shared" si="6"/>
        <v>285.31799999999998</v>
      </c>
      <c r="S23" s="29">
        <f t="shared" si="3"/>
        <v>-1.2470000000000001</v>
      </c>
      <c r="T23" s="1"/>
      <c r="U23" s="1"/>
      <c r="V23" s="15"/>
      <c r="W23" s="1"/>
      <c r="X23" s="1"/>
      <c r="Y23" s="1"/>
      <c r="Z23" s="1"/>
      <c r="AA23" s="1"/>
      <c r="AB23" s="1"/>
      <c r="AC23" s="1"/>
      <c r="AD23" s="1"/>
      <c r="AE23" s="1"/>
    </row>
    <row r="24" spans="1:33" ht="16.5" x14ac:dyDescent="0.25">
      <c r="A24" s="21">
        <f>'原始數據 汰換前'!B23</f>
        <v>1409.01</v>
      </c>
      <c r="B24" s="60">
        <f>'原始數據 汰換前'!B23^2</f>
        <v>1985309.1801</v>
      </c>
      <c r="C24" s="61">
        <f>'原始數據 汰換前'!C23</f>
        <v>53.691060628254661</v>
      </c>
      <c r="D24" s="60">
        <f>'原始數據 汰換前'!C23^2</f>
        <v>2882.7299913869178</v>
      </c>
      <c r="E24" s="60">
        <f>'原始數據 汰換前'!B23*'原始數據 汰換前'!C23</f>
        <v>75651.241335817103</v>
      </c>
      <c r="F24" s="34">
        <f>'原始數據 汰換前'!D23</f>
        <v>403.76</v>
      </c>
      <c r="G24" s="1"/>
      <c r="H24" s="28">
        <f t="shared" si="0"/>
        <v>206.15</v>
      </c>
      <c r="I24" s="7">
        <f t="shared" si="1"/>
        <v>1.9590000000000001</v>
      </c>
      <c r="K24" s="28">
        <v>1601.6206</v>
      </c>
      <c r="L24" s="11">
        <f t="shared" si="4"/>
        <v>2565188.5463443599</v>
      </c>
      <c r="M24" s="7">
        <v>65.510000000000005</v>
      </c>
      <c r="N24" s="11">
        <f t="shared" si="4"/>
        <v>4291.5601000000006</v>
      </c>
      <c r="O24" s="11">
        <f t="shared" si="5"/>
        <v>104922.165506</v>
      </c>
      <c r="P24" s="85">
        <f t="shared" si="2"/>
        <v>-350.83480659435827</v>
      </c>
      <c r="Q24" s="1"/>
      <c r="R24" s="28">
        <f t="shared" si="6"/>
        <v>285.91300000000001</v>
      </c>
      <c r="S24" s="29">
        <f t="shared" si="3"/>
        <v>-1.2270000000000001</v>
      </c>
      <c r="T24" s="1"/>
      <c r="U24" s="1"/>
      <c r="V24" s="15"/>
      <c r="W24" s="1"/>
      <c r="X24" s="1"/>
      <c r="Y24" s="1"/>
      <c r="Z24" s="1"/>
      <c r="AA24" s="1"/>
      <c r="AB24" s="1"/>
      <c r="AC24" s="1"/>
      <c r="AD24" s="1"/>
      <c r="AE24" s="1"/>
    </row>
    <row r="25" spans="1:33" ht="16.5" x14ac:dyDescent="0.25">
      <c r="A25" s="21">
        <f>'原始數據 汰換前'!B24</f>
        <v>1420.86</v>
      </c>
      <c r="B25" s="60">
        <f>'原始數據 汰換前'!B24^2</f>
        <v>2018843.1395999996</v>
      </c>
      <c r="C25" s="61">
        <f>'原始數據 汰換前'!C24</f>
        <v>53.697664920288538</v>
      </c>
      <c r="D25" s="60">
        <f>'原始數據 汰換前'!C24^2</f>
        <v>2883.4392178915864</v>
      </c>
      <c r="E25" s="60">
        <f>'原始數據 汰換前'!B24*'原始數據 汰換前'!C24</f>
        <v>76296.864178641161</v>
      </c>
      <c r="F25" s="34">
        <f>'原始數據 汰換前'!D24</f>
        <v>403.90999999999997</v>
      </c>
      <c r="G25" s="1"/>
      <c r="H25" s="28">
        <f t="shared" si="0"/>
        <v>207.90899999999999</v>
      </c>
      <c r="I25" s="7">
        <f t="shared" si="1"/>
        <v>1.9430000000000001</v>
      </c>
      <c r="K25" s="28">
        <v>1610.0887</v>
      </c>
      <c r="L25" s="11">
        <f t="shared" si="4"/>
        <v>2592385.6218676902</v>
      </c>
      <c r="M25" s="7">
        <v>65.709999999999994</v>
      </c>
      <c r="N25" s="11">
        <f t="shared" si="4"/>
        <v>4317.8040999999994</v>
      </c>
      <c r="O25" s="11">
        <f t="shared" si="5"/>
        <v>105798.92847699999</v>
      </c>
      <c r="P25" s="85">
        <f t="shared" si="2"/>
        <v>-381.80455968051751</v>
      </c>
      <c r="Q25" s="1"/>
      <c r="R25" s="28">
        <f t="shared" si="6"/>
        <v>288.30200000000002</v>
      </c>
      <c r="S25" s="29">
        <f t="shared" si="3"/>
        <v>-1.3240000000000001</v>
      </c>
      <c r="T25" s="1"/>
      <c r="U25" s="1"/>
      <c r="V25" s="15"/>
      <c r="W25" s="1"/>
      <c r="X25" s="1"/>
      <c r="Y25" s="1"/>
      <c r="Z25" s="1"/>
      <c r="AA25" s="1"/>
      <c r="AB25" s="1"/>
      <c r="AC25" s="1"/>
      <c r="AD25" s="1"/>
      <c r="AE25" s="1"/>
    </row>
    <row r="26" spans="1:33" ht="16.5" x14ac:dyDescent="0.25">
      <c r="A26" s="21">
        <f>'原始數據 汰換前'!B25</f>
        <v>1410.56</v>
      </c>
      <c r="B26" s="60">
        <f>'原始數據 汰換前'!B25^2</f>
        <v>1989679.5135999999</v>
      </c>
      <c r="C26" s="61">
        <f>'原始數據 汰換前'!C25</f>
        <v>53.691918481756304</v>
      </c>
      <c r="D26" s="60">
        <f>'原始數據 汰換前'!C25^2</f>
        <v>2882.822110251564</v>
      </c>
      <c r="E26" s="60">
        <f>'原始數據 汰換前'!B25*'原始數據 汰換前'!C25</f>
        <v>75735.672533626173</v>
      </c>
      <c r="F26" s="34">
        <f>'原始數據 汰換前'!D25</f>
        <v>404.18</v>
      </c>
      <c r="G26" s="1"/>
      <c r="H26" s="28">
        <f t="shared" si="0"/>
        <v>206.38</v>
      </c>
      <c r="I26" s="7">
        <f t="shared" si="1"/>
        <v>1.958</v>
      </c>
      <c r="K26" s="28">
        <v>1613.4103</v>
      </c>
      <c r="L26" s="11">
        <f t="shared" si="4"/>
        <v>2603092.7961460901</v>
      </c>
      <c r="M26" s="7">
        <v>65.61</v>
      </c>
      <c r="N26" s="11">
        <f t="shared" si="4"/>
        <v>4304.6720999999998</v>
      </c>
      <c r="O26" s="11">
        <f t="shared" si="5"/>
        <v>105855.849783</v>
      </c>
      <c r="P26" s="85">
        <f t="shared" si="2"/>
        <v>-373.87794827308466</v>
      </c>
      <c r="Q26" s="1"/>
      <c r="R26" s="28">
        <f t="shared" si="6"/>
        <v>288.45699999999999</v>
      </c>
      <c r="S26" s="29">
        <f t="shared" si="3"/>
        <v>-1.296</v>
      </c>
      <c r="T26" s="1"/>
      <c r="U26" s="1"/>
      <c r="V26" s="15"/>
      <c r="W26" s="1"/>
      <c r="X26" s="1"/>
      <c r="Y26" s="1"/>
      <c r="Z26" s="1"/>
      <c r="AA26" s="1"/>
      <c r="AB26" s="1"/>
      <c r="AC26" s="1"/>
      <c r="AD26" s="1"/>
      <c r="AE26" s="1"/>
    </row>
    <row r="27" spans="1:33" ht="16.5" x14ac:dyDescent="0.25">
      <c r="A27" s="21">
        <f>'原始數據 汰換前'!B26</f>
        <v>1421.19</v>
      </c>
      <c r="B27" s="60">
        <f>'原始數據 汰換前'!B26^2</f>
        <v>2019781.0161000001</v>
      </c>
      <c r="C27" s="61">
        <f>'原始數據 汰換前'!C26</f>
        <v>53.697847644351889</v>
      </c>
      <c r="D27" s="60">
        <f>'原始數據 汰換前'!C26^2</f>
        <v>2883.4588416360275</v>
      </c>
      <c r="E27" s="60">
        <f>'原始數據 汰換前'!B26*'原始數據 汰換前'!C26</f>
        <v>76314.844093676467</v>
      </c>
      <c r="F27" s="34">
        <f>'原始數據 汰換前'!D26</f>
        <v>403.7</v>
      </c>
      <c r="G27" s="1"/>
      <c r="H27" s="28">
        <f t="shared" si="0"/>
        <v>207.958</v>
      </c>
      <c r="I27" s="7">
        <f t="shared" si="1"/>
        <v>1.9410000000000001</v>
      </c>
      <c r="K27" s="28">
        <v>1614.7255</v>
      </c>
      <c r="L27" s="11">
        <f t="shared" si="4"/>
        <v>2607338.4403502499</v>
      </c>
      <c r="M27" s="7">
        <v>65.61</v>
      </c>
      <c r="N27" s="11">
        <f t="shared" si="4"/>
        <v>4304.6720999999998</v>
      </c>
      <c r="O27" s="11">
        <f t="shared" si="5"/>
        <v>105942.140055</v>
      </c>
      <c r="P27" s="85">
        <f t="shared" si="2"/>
        <v>-375.24011324488117</v>
      </c>
      <c r="Q27" s="1"/>
      <c r="R27" s="28">
        <f t="shared" si="6"/>
        <v>288.69200000000001</v>
      </c>
      <c r="S27" s="29">
        <f t="shared" si="3"/>
        <v>-1.3</v>
      </c>
      <c r="T27" s="1"/>
      <c r="U27" s="1"/>
      <c r="V27" s="15"/>
      <c r="W27" s="1"/>
      <c r="X27" s="1"/>
      <c r="Y27" s="1"/>
      <c r="Z27" s="1"/>
      <c r="AA27" s="1"/>
      <c r="AB27" s="1"/>
      <c r="AC27" s="1"/>
      <c r="AD27" s="1"/>
      <c r="AE27" s="1"/>
    </row>
    <row r="28" spans="1:33" ht="17.25" thickBot="1" x14ac:dyDescent="0.3">
      <c r="A28" s="22">
        <f>'原始數據 汰換前'!B27</f>
        <v>1420.14</v>
      </c>
      <c r="B28" s="62">
        <f>'原始數據 汰換前'!B27^2</f>
        <v>2016797.6196000003</v>
      </c>
      <c r="C28" s="63">
        <f>'原始數據 汰換前'!C27</f>
        <v>53.697262952002212</v>
      </c>
      <c r="D28" s="62">
        <f>'原始數據 汰換前'!C27^2</f>
        <v>2883.3960485364692</v>
      </c>
      <c r="E28" s="62">
        <f>'原始數據 汰換前'!B27*'原始數據 汰換前'!C27</f>
        <v>76257.631008656434</v>
      </c>
      <c r="F28" s="35">
        <f>'原始數據 汰換前'!D27</f>
        <v>403.82</v>
      </c>
      <c r="G28" s="1"/>
      <c r="H28" s="28">
        <f t="shared" si="0"/>
        <v>207.80199999999999</v>
      </c>
      <c r="I28" s="7">
        <f t="shared" si="1"/>
        <v>1.9430000000000001</v>
      </c>
      <c r="K28" s="30">
        <v>1600.4138</v>
      </c>
      <c r="L28" s="14">
        <f t="shared" si="4"/>
        <v>2561324.3312304402</v>
      </c>
      <c r="M28" s="8">
        <v>65.7</v>
      </c>
      <c r="N28" s="14">
        <f t="shared" si="4"/>
        <v>4316.4900000000007</v>
      </c>
      <c r="O28" s="14">
        <f t="shared" si="5"/>
        <v>105147.18666000001</v>
      </c>
      <c r="P28" s="86">
        <f t="shared" si="2"/>
        <v>-371.08877153196897</v>
      </c>
      <c r="Q28" s="1"/>
      <c r="R28" s="30">
        <f t="shared" si="6"/>
        <v>286.52600000000001</v>
      </c>
      <c r="S28" s="31">
        <f t="shared" si="3"/>
        <v>-1.2949999999999999</v>
      </c>
      <c r="T28" s="1"/>
      <c r="U28" s="1"/>
      <c r="V28" s="15"/>
      <c r="W28" s="1"/>
      <c r="X28" s="1"/>
      <c r="Y28" s="1"/>
      <c r="Z28" s="1"/>
      <c r="AA28" s="1"/>
      <c r="AB28" s="1"/>
      <c r="AC28" s="1"/>
      <c r="AD28" s="1"/>
      <c r="AE28" s="1"/>
    </row>
    <row r="29" spans="1:33" x14ac:dyDescent="0.25">
      <c r="B29" s="1"/>
      <c r="C29" s="1"/>
      <c r="D29" s="1"/>
      <c r="E29" s="1"/>
      <c r="F29" s="1"/>
      <c r="P29" s="1"/>
      <c r="Q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1:33" x14ac:dyDescent="0.25">
      <c r="E30" s="1"/>
      <c r="F30" s="1"/>
      <c r="P30" s="1" t="s">
        <v>16</v>
      </c>
      <c r="Q30" s="1"/>
      <c r="S30" s="1" t="s">
        <v>16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21" x14ac:dyDescent="0.3">
      <c r="L31" s="58" t="s">
        <v>40</v>
      </c>
      <c r="M31" s="58"/>
      <c r="N31" s="58"/>
      <c r="O31" s="58"/>
      <c r="P31" s="58"/>
      <c r="Q31" s="41"/>
      <c r="R31" s="59" t="s">
        <v>40</v>
      </c>
      <c r="S31" s="58"/>
      <c r="T31" s="58"/>
      <c r="U31" s="58"/>
    </row>
    <row r="42" spans="25:28" x14ac:dyDescent="0.25">
      <c r="Y42" s="1"/>
      <c r="Z42" s="1"/>
      <c r="AA42" s="1"/>
      <c r="AB42" s="1"/>
    </row>
  </sheetData>
  <mergeCells count="9">
    <mergeCell ref="L31:P31"/>
    <mergeCell ref="R31:U31"/>
    <mergeCell ref="W2:AB2"/>
    <mergeCell ref="K2:O2"/>
    <mergeCell ref="A2:F2"/>
    <mergeCell ref="W1:AB1"/>
    <mergeCell ref="A1:I1"/>
    <mergeCell ref="K1:O1"/>
    <mergeCell ref="P1:S1"/>
  </mergeCells>
  <phoneticPr fontId="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原始數據 汰換前</vt:lpstr>
      <vt:lpstr>C值迴歸&amp;汰換後數據</vt:lpstr>
      <vt:lpstr>一般迴歸方程式計算耗電比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煥然 簡</cp:lastModifiedBy>
  <dcterms:created xsi:type="dcterms:W3CDTF">2025-12-23T05:30:56Z</dcterms:created>
  <dcterms:modified xsi:type="dcterms:W3CDTF">2026-01-03T07:35:04Z</dcterms:modified>
</cp:coreProperties>
</file>