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我的雲端硬碟\媒體圖書館\前台選單目錄\檔案庫\3-檔案專區\泵浦閥產業\文件別\技術文件\離心泵技術\"/>
    </mc:Choice>
  </mc:AlternateContent>
  <xr:revisionPtr revIDLastSave="0" documentId="13_ncr:1_{0E9D68E7-18F6-44DC-B148-BE1A62DB2B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泵浦規格評估" sheetId="16" r:id="rId1"/>
    <sheet name="選單" sheetId="17" r:id="rId2"/>
  </sheets>
  <definedNames>
    <definedName name="_xlnm.Print_Area" localSheetId="0">泵浦規格評估!$A:$C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6" l="1"/>
  <c r="C52" i="16"/>
  <c r="D49" i="16"/>
  <c r="C49" i="16"/>
  <c r="D47" i="16"/>
  <c r="C47" i="16"/>
  <c r="D45" i="16"/>
  <c r="C45" i="16"/>
  <c r="C33" i="16"/>
  <c r="C27" i="16"/>
  <c r="C28" i="16" s="1"/>
  <c r="C20" i="16"/>
  <c r="C21" i="16" s="1"/>
  <c r="C22" i="16" s="1"/>
  <c r="C23" i="16" s="1"/>
  <c r="C29" i="16" s="1"/>
  <c r="C14" i="16"/>
  <c r="C15" i="16" s="1"/>
  <c r="C19" i="16" s="1"/>
  <c r="C9" i="16"/>
  <c r="C13" i="16"/>
  <c r="C25" i="16"/>
  <c r="C38" i="16" l="1"/>
  <c r="C30" i="16"/>
  <c r="C17" i="16"/>
  <c r="C18" i="16" s="1"/>
  <c r="C34" i="16"/>
  <c r="C36" i="16"/>
  <c r="C39" i="16"/>
  <c r="C26" i="16"/>
  <c r="C31" i="16" l="1"/>
  <c r="C32" i="16" s="1"/>
  <c r="C40" i="16"/>
  <c r="D38" i="16"/>
  <c r="D40" i="16" s="1"/>
  <c r="C43" i="16" l="1"/>
  <c r="C46" i="16" s="1"/>
  <c r="D43" i="16"/>
  <c r="D46" i="16" s="1"/>
  <c r="C48" i="16" l="1"/>
  <c r="C44" i="16"/>
  <c r="D44" i="16"/>
  <c r="D48" i="16" s="1"/>
  <c r="D50" i="16" s="1"/>
  <c r="C50" i="16" l="1"/>
  <c r="C54" i="16"/>
  <c r="D56" i="16"/>
  <c r="C56" i="16" l="1"/>
  <c r="D54" i="16"/>
</calcChain>
</file>

<file path=xl/sharedStrings.xml><?xml version="1.0" encoding="utf-8"?>
<sst xmlns="http://schemas.openxmlformats.org/spreadsheetml/2006/main" count="77" uniqueCount="72">
  <si>
    <t>流功 kW</t>
    <phoneticPr fontId="2" type="noConversion"/>
  </si>
  <si>
    <t>設備</t>
    <phoneticPr fontId="3" type="noConversion"/>
  </si>
  <si>
    <t>揚程 m</t>
    <phoneticPr fontId="2" type="noConversion"/>
  </si>
  <si>
    <t>額定馬力hp</t>
    <phoneticPr fontId="2" type="noConversion"/>
  </si>
  <si>
    <t>馬達效率%</t>
    <phoneticPr fontId="2" type="noConversion"/>
  </si>
  <si>
    <t>流量 cms</t>
    <phoneticPr fontId="2" type="noConversion"/>
  </si>
  <si>
    <t>流量 cmh</t>
    <phoneticPr fontId="2" type="noConversion"/>
  </si>
  <si>
    <t>流量 cmm</t>
    <phoneticPr fontId="2" type="noConversion"/>
  </si>
  <si>
    <t>比速率Ns-cmm</t>
    <phoneticPr fontId="2" type="noConversion"/>
  </si>
  <si>
    <t>比速率Ns-cms</t>
    <phoneticPr fontId="2" type="noConversion"/>
  </si>
  <si>
    <t>ln(Q(cmh))</t>
    <phoneticPr fontId="2" type="noConversion"/>
  </si>
  <si>
    <t>ln(Ns(cms))</t>
    <phoneticPr fontId="2" type="noConversion"/>
  </si>
  <si>
    <t>耗電比(耗電功/流功)</t>
    <phoneticPr fontId="3" type="noConversion"/>
  </si>
  <si>
    <t>泵浦總效率%</t>
    <phoneticPr fontId="2" type="noConversion"/>
  </si>
  <si>
    <t>年運轉時數hrs</t>
    <phoneticPr fontId="2" type="noConversion"/>
  </si>
  <si>
    <t>年節省電量kWh</t>
    <phoneticPr fontId="2" type="noConversion"/>
  </si>
  <si>
    <t>年節省排碳量ton</t>
    <phoneticPr fontId="2" type="noConversion"/>
  </si>
  <si>
    <t>每度電費NT/kWh</t>
    <phoneticPr fontId="2" type="noConversion"/>
  </si>
  <si>
    <t>年節省電費NT</t>
    <phoneticPr fontId="2" type="noConversion"/>
  </si>
  <si>
    <t>節電率%</t>
    <phoneticPr fontId="2" type="noConversion"/>
  </si>
  <si>
    <t>節能
+
省碳</t>
    <phoneticPr fontId="2" type="noConversion"/>
  </si>
  <si>
    <t>ESOB-1450</t>
    <phoneticPr fontId="2" type="noConversion"/>
  </si>
  <si>
    <t>ESOB-2900</t>
    <phoneticPr fontId="2" type="noConversion"/>
  </si>
  <si>
    <t>ESCC-1450</t>
    <phoneticPr fontId="2" type="noConversion"/>
  </si>
  <si>
    <t>ESCC-2900</t>
    <phoneticPr fontId="2" type="noConversion"/>
  </si>
  <si>
    <t>ESCCI-1450</t>
    <phoneticPr fontId="2" type="noConversion"/>
  </si>
  <si>
    <t>ESCCI-2900</t>
    <phoneticPr fontId="2" type="noConversion"/>
  </si>
  <si>
    <t>MS-1450</t>
    <phoneticPr fontId="2" type="noConversion"/>
  </si>
  <si>
    <t>MS-2900</t>
    <phoneticPr fontId="2" type="noConversion"/>
  </si>
  <si>
    <t>MSS-2900</t>
    <phoneticPr fontId="2" type="noConversion"/>
  </si>
  <si>
    <t>額定軸功kW</t>
    <phoneticPr fontId="2" type="noConversion"/>
  </si>
  <si>
    <t>管路型態</t>
    <phoneticPr fontId="2" type="noConversion"/>
  </si>
  <si>
    <t>IE3馬達能效</t>
    <phoneticPr fontId="2" type="noConversion"/>
  </si>
  <si>
    <t>能效C值</t>
    <phoneticPr fontId="2" type="noConversion"/>
  </si>
  <si>
    <t>電力排碳係數kg/kWh</t>
    <phoneticPr fontId="2" type="noConversion"/>
  </si>
  <si>
    <t>機型</t>
    <phoneticPr fontId="2" type="noConversion"/>
  </si>
  <si>
    <t>C值</t>
    <phoneticPr fontId="2" type="noConversion"/>
  </si>
  <si>
    <t>泵浦型式</t>
    <phoneticPr fontId="2" type="noConversion"/>
  </si>
  <si>
    <t>MS-1450</t>
  </si>
  <si>
    <t>能效計算</t>
  </si>
  <si>
    <t>歐盟與中國能效計算</t>
    <phoneticPr fontId="2" type="noConversion"/>
  </si>
  <si>
    <t>歐盟能效</t>
    <phoneticPr fontId="2" type="noConversion"/>
  </si>
  <si>
    <t>中國3級能效</t>
    <phoneticPr fontId="2" type="noConversion"/>
  </si>
  <si>
    <t>泵浦效率(MEI=0.4%)</t>
    <phoneticPr fontId="2" type="noConversion"/>
  </si>
  <si>
    <t>管路口徑mm</t>
    <phoneticPr fontId="2" type="noConversion"/>
  </si>
  <si>
    <t>流量cmd</t>
    <phoneticPr fontId="2" type="noConversion"/>
  </si>
  <si>
    <t>管路流速m/s</t>
    <phoneticPr fontId="2" type="noConversion"/>
  </si>
  <si>
    <r>
      <t>管路截面積m</t>
    </r>
    <r>
      <rPr>
        <vertAlign val="superscript"/>
        <sz val="16"/>
        <color rgb="FF000000"/>
        <rFont val="標楷體"/>
        <family val="4"/>
        <charset val="136"/>
      </rPr>
      <t>2</t>
    </r>
    <phoneticPr fontId="2" type="noConversion"/>
  </si>
  <si>
    <t>泵浦轉速rpm</t>
    <phoneticPr fontId="2" type="noConversion"/>
  </si>
  <si>
    <r>
      <t>泵浦角速度</t>
    </r>
    <r>
      <rPr>
        <sz val="14"/>
        <color rgb="FF000000"/>
        <rFont val="Calibri"/>
        <family val="3"/>
        <charset val="161"/>
      </rPr>
      <t>ω</t>
    </r>
    <phoneticPr fontId="2" type="noConversion"/>
  </si>
  <si>
    <t>馬達耗電功kW</t>
    <phoneticPr fontId="2" type="noConversion"/>
  </si>
  <si>
    <t>泵浦效率%</t>
    <phoneticPr fontId="2" type="noConversion"/>
  </si>
  <si>
    <r>
      <t>水面與壓力錶高度差 m, C</t>
    </r>
    <r>
      <rPr>
        <vertAlign val="subscript"/>
        <sz val="14"/>
        <color rgb="FF000000"/>
        <rFont val="標楷體"/>
        <family val="4"/>
        <charset val="136"/>
      </rPr>
      <t>0</t>
    </r>
    <phoneticPr fontId="2" type="noConversion"/>
  </si>
  <si>
    <r>
      <t>管路阻抗係數C</t>
    </r>
    <r>
      <rPr>
        <vertAlign val="subscript"/>
        <sz val="14"/>
        <color rgb="FF000000"/>
        <rFont val="標楷體"/>
        <family val="4"/>
        <charset val="136"/>
      </rPr>
      <t>1</t>
    </r>
    <r>
      <rPr>
        <sz val="14"/>
        <color rgb="FF000000"/>
        <rFont val="標楷體"/>
        <family val="4"/>
        <charset val="136"/>
      </rPr>
      <t>(cmh)</t>
    </r>
    <phoneticPr fontId="2" type="noConversion"/>
  </si>
  <si>
    <t>開放式</t>
    <phoneticPr fontId="2" type="noConversion"/>
  </si>
  <si>
    <t>額定值
+
計算值</t>
    <phoneticPr fontId="2" type="noConversion"/>
  </si>
  <si>
    <t>泵浦能效計算</t>
    <phoneticPr fontId="2" type="noConversion"/>
  </si>
  <si>
    <t>泵級數(葉輪數)n</t>
    <phoneticPr fontId="2" type="noConversion"/>
  </si>
  <si>
    <t>單級揚程m</t>
    <phoneticPr fontId="2" type="noConversion"/>
  </si>
  <si>
    <t>300HP(沉水式)
3號機、4號機</t>
    <phoneticPr fontId="2" type="noConversion"/>
  </si>
  <si>
    <t>單級流功 kW</t>
    <phoneticPr fontId="2" type="noConversion"/>
  </si>
  <si>
    <t>單級軸功(kW)</t>
    <phoneticPr fontId="2" type="noConversion"/>
  </si>
  <si>
    <t>泵浦輸入軸功kW</t>
    <phoneticPr fontId="2" type="noConversion"/>
  </si>
  <si>
    <t>泵浦總能效%</t>
    <phoneticPr fontId="2" type="noConversion"/>
  </si>
  <si>
    <t>泵浦耗電功kW</t>
    <phoneticPr fontId="2" type="noConversion"/>
  </si>
  <si>
    <t>泵浦耗電比(耗電功/流功)</t>
    <phoneticPr fontId="3" type="noConversion"/>
  </si>
  <si>
    <t>標案
規格值</t>
    <phoneticPr fontId="2" type="noConversion"/>
  </si>
  <si>
    <t>馬達Hp</t>
    <phoneticPr fontId="2" type="noConversion"/>
  </si>
  <si>
    <t>總效率%</t>
    <phoneticPr fontId="2" type="noConversion"/>
  </si>
  <si>
    <t>馬達級數</t>
    <phoneticPr fontId="2" type="noConversion"/>
  </si>
  <si>
    <t>單級馬達耗電功kW</t>
    <phoneticPr fontId="2" type="noConversion"/>
  </si>
  <si>
    <t>單級輸入軸功kW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</si>
</sst>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&quot;$&quot;#,##0.00_);[Red]\(&quot;$&quot;#,##0.00\)"/>
    <numFmt numFmtId="177" formatCode="0.00_);[Red]\(0.00\)"/>
    <numFmt numFmtId="178" formatCode="0.000_);[Red]\(0.000\)"/>
    <numFmt numFmtId="179" formatCode="0.0%"/>
    <numFmt numFmtId="180" formatCode="0.0_ "/>
    <numFmt numFmtId="181" formatCode="0.00_ "/>
    <numFmt numFmtId="182" formatCode="0_);[Red]\(0\)"/>
    <numFmt numFmtId="183" formatCode="0.0_);[Red]\(0.0\)"/>
    <numFmt numFmtId="184" formatCode="0.0000000000_);[Red]\(0.0000000000\)"/>
    <numFmt numFmtId="185" formatCode="&quot;$&quot;#,##0.00"/>
    <numFmt numFmtId="186" formatCode="0.0000_ "/>
  </numFmts>
  <fonts count="17" x14ac:knownFonts="1">
    <font>
      <sz val="12"/>
      <color rgb="FF000000"/>
      <name val="新細明體"/>
      <family val="2"/>
      <charset val="136"/>
      <scheme val="minor"/>
    </font>
    <font>
      <sz val="12"/>
      <color rgb="FF000000"/>
      <name val="新細明體"/>
      <family val="2"/>
      <charset val="136"/>
      <scheme val="minor"/>
    </font>
    <font>
      <sz val="9"/>
      <color rgb="FF000000"/>
      <name val="新細明體"/>
      <family val="2"/>
      <charset val="136"/>
      <scheme val="minor"/>
    </font>
    <font>
      <sz val="9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1"/>
      <color rgb="FF000000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vertAlign val="subscript"/>
      <sz val="14"/>
      <color rgb="FF000000"/>
      <name val="標楷體"/>
      <family val="4"/>
      <charset val="136"/>
    </font>
    <font>
      <vertAlign val="superscript"/>
      <sz val="16"/>
      <color rgb="FF000000"/>
      <name val="標楷體"/>
      <family val="4"/>
      <charset val="136"/>
    </font>
    <font>
      <sz val="14"/>
      <color rgb="FF000000"/>
      <name val="Calibri"/>
      <family val="3"/>
      <charset val="161"/>
    </font>
    <font>
      <sz val="14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9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9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9" fontId="1" fillId="0" borderId="0">
      <alignment vertical="center"/>
    </xf>
  </cellStyleXfs>
  <cellXfs count="114">
    <xf numFmtId="0" fontId="0" fillId="0" borderId="0" xfId="0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84" fontId="6" fillId="0" borderId="10" xfId="0" applyNumberFormat="1" applyFont="1" applyBorder="1" applyAlignment="1">
      <alignment horizontal="center" vertical="center"/>
    </xf>
    <xf numFmtId="179" fontId="10" fillId="0" borderId="16" xfId="0" applyNumberFormat="1" applyFont="1" applyBorder="1">
      <alignment vertical="center"/>
    </xf>
    <xf numFmtId="180" fontId="10" fillId="0" borderId="17" xfId="0" applyNumberFormat="1" applyFont="1" applyBorder="1">
      <alignment vertical="center"/>
    </xf>
    <xf numFmtId="181" fontId="10" fillId="0" borderId="17" xfId="0" applyNumberFormat="1" applyFont="1" applyBorder="1">
      <alignment vertical="center"/>
    </xf>
    <xf numFmtId="176" fontId="11" fillId="0" borderId="19" xfId="0" applyNumberFormat="1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181" fontId="6" fillId="0" borderId="17" xfId="0" applyNumberFormat="1" applyFont="1" applyBorder="1">
      <alignment vertical="center"/>
    </xf>
    <xf numFmtId="181" fontId="6" fillId="0" borderId="16" xfId="0" applyNumberFormat="1" applyFont="1" applyBorder="1">
      <alignment vertical="center"/>
    </xf>
    <xf numFmtId="181" fontId="8" fillId="0" borderId="3" xfId="0" applyNumberFormat="1" applyFont="1" applyBorder="1">
      <alignment vertical="center"/>
    </xf>
    <xf numFmtId="181" fontId="8" fillId="0" borderId="1" xfId="0" applyNumberFormat="1" applyFont="1" applyBorder="1">
      <alignment vertical="center"/>
    </xf>
    <xf numFmtId="177" fontId="6" fillId="0" borderId="17" xfId="0" applyNumberFormat="1" applyFont="1" applyBorder="1">
      <alignment vertical="center"/>
    </xf>
    <xf numFmtId="0" fontId="8" fillId="0" borderId="1" xfId="0" applyFont="1" applyBorder="1">
      <alignment vertical="center"/>
    </xf>
    <xf numFmtId="181" fontId="8" fillId="0" borderId="17" xfId="0" applyNumberFormat="1" applyFont="1" applyBorder="1">
      <alignment vertical="center"/>
    </xf>
    <xf numFmtId="181" fontId="8" fillId="0" borderId="18" xfId="0" applyNumberFormat="1" applyFont="1" applyBorder="1">
      <alignment vertical="center"/>
    </xf>
    <xf numFmtId="181" fontId="8" fillId="0" borderId="5" xfId="0" applyNumberFormat="1" applyFont="1" applyBorder="1">
      <alignment vertical="center"/>
    </xf>
    <xf numFmtId="10" fontId="11" fillId="0" borderId="3" xfId="0" applyNumberFormat="1" applyFont="1" applyBorder="1">
      <alignment vertical="center"/>
    </xf>
    <xf numFmtId="180" fontId="11" fillId="0" borderId="1" xfId="0" applyNumberFormat="1" applyFont="1" applyBorder="1">
      <alignment vertical="center"/>
    </xf>
    <xf numFmtId="181" fontId="11" fillId="0" borderId="1" xfId="0" applyNumberFormat="1" applyFont="1" applyBorder="1">
      <alignment vertical="center"/>
    </xf>
    <xf numFmtId="185" fontId="11" fillId="0" borderId="2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81" fontId="6" fillId="2" borderId="17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0" fontId="16" fillId="2" borderId="17" xfId="0" applyNumberFormat="1" applyFont="1" applyFill="1" applyBorder="1">
      <alignment vertical="center"/>
    </xf>
    <xf numFmtId="10" fontId="11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0" fontId="8" fillId="2" borderId="17" xfId="0" applyNumberFormat="1" applyFont="1" applyFill="1" applyBorder="1">
      <alignment vertical="center"/>
    </xf>
    <xf numFmtId="10" fontId="8" fillId="2" borderId="1" xfId="0" applyNumberFormat="1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0" fontId="11" fillId="0" borderId="17" xfId="0" applyNumberFormat="1" applyFont="1" applyBorder="1">
      <alignment vertical="center"/>
    </xf>
    <xf numFmtId="9" fontId="11" fillId="0" borderId="1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181" fontId="6" fillId="2" borderId="17" xfId="0" applyNumberFormat="1" applyFont="1" applyFill="1" applyBorder="1" applyAlignment="1">
      <alignment horizontal="center" vertical="center"/>
    </xf>
    <xf numFmtId="181" fontId="6" fillId="2" borderId="27" xfId="0" applyNumberFormat="1" applyFont="1" applyFill="1" applyBorder="1" applyAlignment="1">
      <alignment horizontal="center" vertical="center"/>
    </xf>
    <xf numFmtId="178" fontId="6" fillId="2" borderId="17" xfId="0" applyNumberFormat="1" applyFont="1" applyFill="1" applyBorder="1" applyAlignment="1">
      <alignment horizontal="center" vertical="center"/>
    </xf>
    <xf numFmtId="178" fontId="6" fillId="2" borderId="27" xfId="0" applyNumberFormat="1" applyFont="1" applyFill="1" applyBorder="1" applyAlignment="1">
      <alignment horizontal="center" vertical="center"/>
    </xf>
    <xf numFmtId="177" fontId="6" fillId="2" borderId="17" xfId="0" applyNumberFormat="1" applyFont="1" applyFill="1" applyBorder="1" applyAlignment="1">
      <alignment horizontal="center" vertical="center"/>
    </xf>
    <xf numFmtId="177" fontId="6" fillId="2" borderId="27" xfId="0" applyNumberFormat="1" applyFont="1" applyFill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6" fillId="0" borderId="27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84" fontId="6" fillId="3" borderId="25" xfId="0" applyNumberFormat="1" applyFont="1" applyFill="1" applyBorder="1" applyAlignment="1">
      <alignment horizontal="center" vertical="center"/>
    </xf>
    <xf numFmtId="184" fontId="6" fillId="3" borderId="26" xfId="0" applyNumberFormat="1" applyFont="1" applyFill="1" applyBorder="1" applyAlignment="1">
      <alignment horizontal="center" vertical="center"/>
    </xf>
    <xf numFmtId="181" fontId="6" fillId="0" borderId="17" xfId="0" applyNumberFormat="1" applyFont="1" applyBorder="1" applyAlignment="1">
      <alignment horizontal="center" vertical="center"/>
    </xf>
    <xf numFmtId="181" fontId="6" fillId="0" borderId="2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0" fontId="6" fillId="0" borderId="17" xfId="0" applyNumberFormat="1" applyFont="1" applyBorder="1" applyAlignment="1">
      <alignment horizontal="center" vertical="center"/>
    </xf>
    <xf numFmtId="10" fontId="6" fillId="0" borderId="27" xfId="0" applyNumberFormat="1" applyFont="1" applyBorder="1" applyAlignment="1">
      <alignment horizontal="center" vertical="center"/>
    </xf>
    <xf numFmtId="181" fontId="7" fillId="0" borderId="23" xfId="0" applyNumberFormat="1" applyFont="1" applyBorder="1" applyAlignment="1">
      <alignment horizontal="center" vertical="center"/>
    </xf>
    <xf numFmtId="181" fontId="7" fillId="0" borderId="24" xfId="0" applyNumberFormat="1" applyFont="1" applyBorder="1" applyAlignment="1">
      <alignment horizontal="center" vertical="center"/>
    </xf>
    <xf numFmtId="186" fontId="7" fillId="0" borderId="17" xfId="0" applyNumberFormat="1" applyFont="1" applyBorder="1" applyAlignment="1">
      <alignment horizontal="center" vertical="center"/>
    </xf>
    <xf numFmtId="186" fontId="7" fillId="0" borderId="2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81" fontId="7" fillId="0" borderId="17" xfId="0" applyNumberFormat="1" applyFont="1" applyBorder="1" applyAlignment="1">
      <alignment horizontal="center" vertical="center"/>
    </xf>
    <xf numFmtId="181" fontId="7" fillId="0" borderId="27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4" xfId="0" applyNumberFormat="1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83" fontId="8" fillId="0" borderId="17" xfId="0" applyNumberFormat="1" applyFont="1" applyBorder="1" applyAlignment="1">
      <alignment horizontal="center" vertical="center"/>
    </xf>
    <xf numFmtId="183" fontId="8" fillId="0" borderId="27" xfId="0" applyNumberFormat="1" applyFont="1" applyBorder="1" applyAlignment="1">
      <alignment horizontal="center" vertical="center"/>
    </xf>
    <xf numFmtId="182" fontId="8" fillId="0" borderId="17" xfId="0" applyNumberFormat="1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178" fontId="8" fillId="0" borderId="27" xfId="0" applyNumberFormat="1" applyFont="1" applyBorder="1" applyAlignment="1">
      <alignment horizontal="center" vertical="center"/>
    </xf>
    <xf numFmtId="180" fontId="7" fillId="0" borderId="13" xfId="0" applyNumberFormat="1" applyFont="1" applyBorder="1" applyAlignment="1">
      <alignment horizontal="center" vertical="center" wrapText="1"/>
    </xf>
    <xf numFmtId="180" fontId="7" fillId="0" borderId="35" xfId="0" applyNumberFormat="1" applyFont="1" applyBorder="1" applyAlignment="1">
      <alignment horizontal="center" vertical="center" wrapText="1"/>
    </xf>
    <xf numFmtId="10" fontId="7" fillId="0" borderId="13" xfId="0" applyNumberFormat="1" applyFont="1" applyBorder="1" applyAlignment="1">
      <alignment horizontal="center" vertical="center" wrapText="1"/>
    </xf>
    <xf numFmtId="10" fontId="7" fillId="0" borderId="35" xfId="0" applyNumberFormat="1" applyFont="1" applyBorder="1" applyAlignment="1">
      <alignment horizontal="center" vertical="center" wrapText="1"/>
    </xf>
    <xf numFmtId="181" fontId="9" fillId="2" borderId="32" xfId="0" applyNumberFormat="1" applyFont="1" applyFill="1" applyBorder="1" applyAlignment="1">
      <alignment horizontal="center" vertical="center"/>
    </xf>
    <xf numFmtId="181" fontId="9" fillId="2" borderId="33" xfId="0" applyNumberFormat="1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10" fontId="6" fillId="2" borderId="27" xfId="0" applyNumberFormat="1" applyFont="1" applyFill="1" applyBorder="1" applyAlignment="1">
      <alignment horizontal="center" vertical="center"/>
    </xf>
    <xf numFmtId="177" fontId="6" fillId="4" borderId="17" xfId="0" applyNumberFormat="1" applyFont="1" applyFill="1" applyBorder="1" applyAlignment="1">
      <alignment horizontal="center" vertical="center"/>
    </xf>
    <xf numFmtId="177" fontId="6" fillId="4" borderId="27" xfId="0" applyNumberFormat="1" applyFont="1" applyFill="1" applyBorder="1" applyAlignment="1">
      <alignment horizontal="center" vertical="center"/>
    </xf>
    <xf numFmtId="10" fontId="16" fillId="0" borderId="23" xfId="0" applyNumberFormat="1" applyFont="1" applyBorder="1" applyAlignment="1">
      <alignment horizontal="center" vertical="center"/>
    </xf>
    <xf numFmtId="10" fontId="16" fillId="0" borderId="24" xfId="0" applyNumberFormat="1" applyFont="1" applyBorder="1" applyAlignment="1">
      <alignment horizontal="center" vertical="center"/>
    </xf>
    <xf numFmtId="181" fontId="6" fillId="0" borderId="21" xfId="0" applyNumberFormat="1" applyFont="1" applyBorder="1" applyAlignment="1">
      <alignment horizontal="center" vertical="center"/>
    </xf>
    <xf numFmtId="181" fontId="9" fillId="0" borderId="22" xfId="0" applyNumberFormat="1" applyFont="1" applyBorder="1" applyAlignment="1">
      <alignment horizontal="center" vertical="center"/>
    </xf>
    <xf numFmtId="177" fontId="6" fillId="3" borderId="23" xfId="0" applyNumberFormat="1" applyFont="1" applyFill="1" applyBorder="1" applyAlignment="1">
      <alignment horizontal="center" vertical="center"/>
    </xf>
    <xf numFmtId="177" fontId="6" fillId="3" borderId="24" xfId="0" applyNumberFormat="1" applyFont="1" applyFill="1" applyBorder="1" applyAlignment="1">
      <alignment horizontal="center" vertical="center"/>
    </xf>
  </cellXfs>
  <cellStyles count="9">
    <cellStyle name="一般" xfId="0" builtinId="0"/>
    <cellStyle name="一般 2" xfId="1" xr:uid="{00000000-0005-0000-0000-000001000000}"/>
    <cellStyle name="一般 2 2" xfId="6" xr:uid="{00000000-0005-0000-0000-000002000000}"/>
    <cellStyle name="一般 2 3" xfId="3" xr:uid="{00000000-0005-0000-0000-000003000000}"/>
    <cellStyle name="一般 3" xfId="4" xr:uid="{00000000-0005-0000-0000-000004000000}"/>
    <cellStyle name="一般 3 2" xfId="7" xr:uid="{00000000-0005-0000-0000-000005000000}"/>
    <cellStyle name="百分比 2" xfId="2" xr:uid="{00000000-0005-0000-0000-000006000000}"/>
    <cellStyle name="百分比 3 2" xfId="5" xr:uid="{00000000-0005-0000-0000-000007000000}"/>
    <cellStyle name="百分比 4" xfId="8" xr:uid="{00000000-0005-0000-0000-000008000000}"/>
  </cellStyles>
  <dxfs count="0"/>
  <tableStyles count="0" defaultTableStyle="TableStyleMedium2" defaultPivotStyle="PivotStyleLight16"/>
  <colors>
    <mruColors>
      <color rgb="FFFFCCFF"/>
      <color rgb="FFCCFFCC"/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ustomXml" Target="../ink/ink2.xml"/><Relationship Id="rId7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customXml" Target="../ink/ink1.xml"/><Relationship Id="rId6" Type="http://schemas.openxmlformats.org/officeDocument/2006/relationships/image" Target="../media/image2.emf"/><Relationship Id="rId5" Type="http://schemas.openxmlformats.org/officeDocument/2006/relationships/image" Target="../media/image1.emf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2</xdr:col>
      <xdr:colOff>2160</xdr:colOff>
      <xdr:row>14</xdr:row>
      <xdr:rowOff>22320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7" name="墨迹 16">
              <a:extLst>
                <a:ext uri="{FF2B5EF4-FFF2-40B4-BE49-F238E27FC236}">
                  <a16:creationId xmlns:a16="http://schemas.microsoft.com/office/drawing/2014/main" id="{B7F49D83-195F-253C-87D5-ACEF3022CC4F}"/>
                </a:ext>
              </a:extLst>
            </xdr14:cNvPr>
            <xdr14:cNvContentPartPr/>
          </xdr14:nvContentPartPr>
          <xdr14:nvPr macro=""/>
          <xdr14:xfrm>
            <a:off x="5739480" y="792000"/>
            <a:ext cx="2160" cy="22320"/>
          </xdr14:xfrm>
        </xdr:contentPart>
      </mc:Choice>
      <mc:Fallback xmlns="">
        <xdr:pic>
          <xdr:nvPicPr>
            <xdr:cNvPr id="17" name="墨迹 16">
              <a:extLst>
                <a:ext uri="{FF2B5EF4-FFF2-40B4-BE49-F238E27FC236}">
                  <a16:creationId xmlns:a16="http://schemas.microsoft.com/office/drawing/2014/main" id="{B7F49D83-195F-253C-87D5-ACEF3022CC4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730480" y="783360"/>
              <a:ext cx="19800" cy="39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3240</xdr:colOff>
      <xdr:row>14</xdr:row>
      <xdr:rowOff>9720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2" name="墨迹 21">
              <a:extLst>
                <a:ext uri="{FF2B5EF4-FFF2-40B4-BE49-F238E27FC236}">
                  <a16:creationId xmlns:a16="http://schemas.microsoft.com/office/drawing/2014/main" id="{56EF9DE6-0185-642C-D6A7-791BBA1E3A24}"/>
                </a:ext>
              </a:extLst>
            </xdr14:cNvPr>
            <xdr14:cNvContentPartPr/>
          </xdr14:nvContentPartPr>
          <xdr14:nvPr macro=""/>
          <xdr14:xfrm>
            <a:off x="4858560" y="784440"/>
            <a:ext cx="3240" cy="9720"/>
          </xdr14:xfrm>
        </xdr:contentPart>
      </mc:Choice>
      <mc:Fallback xmlns="">
        <xdr:pic>
          <xdr:nvPicPr>
            <xdr:cNvPr id="22" name="墨迹 21">
              <a:extLst>
                <a:ext uri="{FF2B5EF4-FFF2-40B4-BE49-F238E27FC236}">
                  <a16:creationId xmlns:a16="http://schemas.microsoft.com/office/drawing/2014/main" id="{56EF9DE6-0185-642C-D6A7-791BBA1E3A2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849920" y="775800"/>
              <a:ext cx="20880" cy="273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447674</xdr:colOff>
      <xdr:row>9</xdr:row>
      <xdr:rowOff>104775</xdr:rowOff>
    </xdr:from>
    <xdr:to>
      <xdr:col>15</xdr:col>
      <xdr:colOff>514350</xdr:colOff>
      <xdr:row>12</xdr:row>
      <xdr:rowOff>57150</xdr:rowOff>
    </xdr:to>
    <xdr:grpSp>
      <xdr:nvGrpSpPr>
        <xdr:cNvPr id="8" name="组合 1">
          <a:extLst>
            <a:ext uri="{FF2B5EF4-FFF2-40B4-BE49-F238E27FC236}">
              <a16:creationId xmlns:a16="http://schemas.microsoft.com/office/drawing/2014/main" id="{B7F81F73-BA6C-4DA6-A239-AEC85B15A237}"/>
            </a:ext>
          </a:extLst>
        </xdr:cNvPr>
        <xdr:cNvGrpSpPr/>
      </xdr:nvGrpSpPr>
      <xdr:grpSpPr>
        <a:xfrm>
          <a:off x="7867649" y="3752850"/>
          <a:ext cx="6924676" cy="752475"/>
          <a:chOff x="2549072" y="20437929"/>
          <a:chExt cx="6053365" cy="430892"/>
        </a:xfrm>
      </xdr:grpSpPr>
      <xdr:pic>
        <xdr:nvPicPr>
          <xdr:cNvPr id="9" name="图片 2">
            <a:extLst>
              <a:ext uri="{FF2B5EF4-FFF2-40B4-BE49-F238E27FC236}">
                <a16:creationId xmlns:a16="http://schemas.microsoft.com/office/drawing/2014/main" id="{470B9D81-0419-F162-DED4-41EF157B26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图片 3">
            <a:extLst>
              <a:ext uri="{FF2B5EF4-FFF2-40B4-BE49-F238E27FC236}">
                <a16:creationId xmlns:a16="http://schemas.microsoft.com/office/drawing/2014/main" id="{0224E046-BD52-E0E0-F037-B6671424CE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9525</xdr:colOff>
      <xdr:row>28</xdr:row>
      <xdr:rowOff>144884</xdr:rowOff>
    </xdr:from>
    <xdr:to>
      <xdr:col>18</xdr:col>
      <xdr:colOff>163293</xdr:colOff>
      <xdr:row>45</xdr:row>
      <xdr:rowOff>70653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C058464-6E11-703D-38EA-7E568DC47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29500" y="8860259"/>
          <a:ext cx="9069168" cy="4459669"/>
        </a:xfrm>
        <a:prstGeom prst="rect">
          <a:avLst/>
        </a:prstGeom>
      </xdr:spPr>
    </xdr:pic>
    <xdr:clientData/>
  </xdr:twoCellAnchor>
  <xdr:twoCellAnchor editAs="oneCell">
    <xdr:from>
      <xdr:col>5</xdr:col>
      <xdr:colOff>400050</xdr:colOff>
      <xdr:row>13</xdr:row>
      <xdr:rowOff>114300</xdr:rowOff>
    </xdr:from>
    <xdr:to>
      <xdr:col>16</xdr:col>
      <xdr:colOff>515908</xdr:colOff>
      <xdr:row>27</xdr:row>
      <xdr:rowOff>177651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81BED84F-FE15-1A90-B3B3-85BC2425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820025" y="4829175"/>
          <a:ext cx="7659658" cy="3797151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</xdr:colOff>
      <xdr:row>1</xdr:row>
      <xdr:rowOff>0</xdr:rowOff>
    </xdr:from>
    <xdr:to>
      <xdr:col>15</xdr:col>
      <xdr:colOff>429780</xdr:colOff>
      <xdr:row>8</xdr:row>
      <xdr:rowOff>340930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65859317-20B1-0E14-A5B1-2FEA4B8ED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896225" y="304800"/>
          <a:ext cx="6544830" cy="3246055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04T13:43:33.1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5 62 2018 0 0,'-5'-13'1569'0'0,"10"7"-1152"0"0,-5-1-65 0 0,0-6 353 0 0,0 5-353 0 0,0 7 161 0 0,0-2-193 0 0,0 2 0 0 0,0 0 129 0 0,0-2-65 0 0,0 1-256 0 0,0 1-448 0 0,0-1-1602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11-04T13:43:39.2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9 4 1089 0 0,'-5'-3'1153'0'0,"2"6"-1377"0"0,3 2 576 0 0,0-4-224 0 0,0 10-288 0 0,3-5-128 0 0</inkml:trace>
</inkml: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6"/>
  <sheetViews>
    <sheetView tabSelected="1" topLeftCell="A31" zoomScaleNormal="100" workbookViewId="0">
      <selection activeCell="D52" sqref="D52"/>
    </sheetView>
  </sheetViews>
  <sheetFormatPr defaultRowHeight="16.5" x14ac:dyDescent="0.25"/>
  <cols>
    <col min="2" max="2" width="44.5" customWidth="1"/>
    <col min="3" max="3" width="18.125" customWidth="1"/>
    <col min="4" max="4" width="16.75" customWidth="1"/>
  </cols>
  <sheetData>
    <row r="1" spans="1:4" ht="24" customHeight="1" thickBot="1" x14ac:dyDescent="0.3">
      <c r="A1" s="78" t="s">
        <v>56</v>
      </c>
      <c r="B1" s="79"/>
      <c r="C1" s="80"/>
      <c r="D1" s="81"/>
    </row>
    <row r="2" spans="1:4" ht="53.25" customHeight="1" thickBot="1" x14ac:dyDescent="0.3">
      <c r="A2" s="60" t="s">
        <v>66</v>
      </c>
      <c r="B2" s="31" t="s">
        <v>1</v>
      </c>
      <c r="C2" s="82" t="s">
        <v>59</v>
      </c>
      <c r="D2" s="83"/>
    </row>
    <row r="3" spans="1:4" ht="29.25" customHeight="1" thickBot="1" x14ac:dyDescent="0.3">
      <c r="A3" s="61"/>
      <c r="B3" s="51" t="s">
        <v>45</v>
      </c>
      <c r="C3" s="98">
        <v>20000</v>
      </c>
      <c r="D3" s="99"/>
    </row>
    <row r="4" spans="1:4" ht="29.25" customHeight="1" thickBot="1" x14ac:dyDescent="0.3">
      <c r="A4" s="61"/>
      <c r="B4" s="51" t="s">
        <v>2</v>
      </c>
      <c r="C4" s="98">
        <v>55</v>
      </c>
      <c r="D4" s="99"/>
    </row>
    <row r="5" spans="1:4" ht="29.25" customHeight="1" thickBot="1" x14ac:dyDescent="0.3">
      <c r="A5" s="61"/>
      <c r="B5" s="51" t="s">
        <v>67</v>
      </c>
      <c r="C5" s="98">
        <v>300</v>
      </c>
      <c r="D5" s="99"/>
    </row>
    <row r="6" spans="1:4" ht="29.25" customHeight="1" thickBot="1" x14ac:dyDescent="0.3">
      <c r="A6" s="61"/>
      <c r="B6" s="51" t="s">
        <v>69</v>
      </c>
      <c r="C6" s="98">
        <v>4</v>
      </c>
      <c r="D6" s="99"/>
    </row>
    <row r="7" spans="1:4" ht="29.25" customHeight="1" thickBot="1" x14ac:dyDescent="0.3">
      <c r="A7" s="61"/>
      <c r="B7" s="51" t="s">
        <v>4</v>
      </c>
      <c r="C7" s="100">
        <v>0.84</v>
      </c>
      <c r="D7" s="101"/>
    </row>
    <row r="8" spans="1:4" ht="29.25" customHeight="1" thickBot="1" x14ac:dyDescent="0.3">
      <c r="A8" s="61"/>
      <c r="B8" s="51" t="s">
        <v>51</v>
      </c>
      <c r="C8" s="100">
        <v>0.75</v>
      </c>
      <c r="D8" s="101"/>
    </row>
    <row r="9" spans="1:4" ht="34.5" customHeight="1" thickBot="1" x14ac:dyDescent="0.3">
      <c r="A9" s="62"/>
      <c r="B9" s="51" t="s">
        <v>68</v>
      </c>
      <c r="C9" s="100">
        <f>C7*C8</f>
        <v>0.63</v>
      </c>
      <c r="D9" s="101"/>
    </row>
    <row r="10" spans="1:4" ht="21" customHeight="1" x14ac:dyDescent="0.25">
      <c r="A10" s="60" t="s">
        <v>55</v>
      </c>
      <c r="B10" s="33" t="s">
        <v>31</v>
      </c>
      <c r="C10" s="110" t="s">
        <v>54</v>
      </c>
      <c r="D10" s="111"/>
    </row>
    <row r="11" spans="1:4" ht="21" customHeight="1" x14ac:dyDescent="0.25">
      <c r="A11" s="61"/>
      <c r="B11" s="40" t="s">
        <v>57</v>
      </c>
      <c r="C11" s="52">
        <v>1</v>
      </c>
      <c r="D11" s="53"/>
    </row>
    <row r="12" spans="1:4" ht="21" customHeight="1" x14ac:dyDescent="0.25">
      <c r="A12" s="61"/>
      <c r="B12" s="32" t="s">
        <v>48</v>
      </c>
      <c r="C12" s="67">
        <v>1800</v>
      </c>
      <c r="D12" s="68"/>
    </row>
    <row r="13" spans="1:4" ht="21" customHeight="1" x14ac:dyDescent="0.25">
      <c r="A13" s="61"/>
      <c r="B13" s="27" t="s">
        <v>49</v>
      </c>
      <c r="C13" s="71">
        <f>C12*2*PI()/60</f>
        <v>188.49555921538757</v>
      </c>
      <c r="D13" s="72"/>
    </row>
    <row r="14" spans="1:4" ht="21" customHeight="1" x14ac:dyDescent="0.25">
      <c r="A14" s="61"/>
      <c r="B14" s="28" t="s">
        <v>3</v>
      </c>
      <c r="C14" s="84">
        <f>C5</f>
        <v>300</v>
      </c>
      <c r="D14" s="85"/>
    </row>
    <row r="15" spans="1:4" ht="21" customHeight="1" x14ac:dyDescent="0.25">
      <c r="A15" s="61"/>
      <c r="B15" s="27" t="s">
        <v>30</v>
      </c>
      <c r="C15" s="86">
        <f>C14*0.746</f>
        <v>223.8</v>
      </c>
      <c r="D15" s="87"/>
    </row>
    <row r="16" spans="1:4" ht="21" customHeight="1" x14ac:dyDescent="0.25">
      <c r="A16" s="61"/>
      <c r="B16" s="27" t="s">
        <v>4</v>
      </c>
      <c r="C16" s="69">
        <v>0.84</v>
      </c>
      <c r="D16" s="70"/>
    </row>
    <row r="17" spans="1:4" ht="21" customHeight="1" x14ac:dyDescent="0.25">
      <c r="A17" s="61"/>
      <c r="B17" s="27" t="s">
        <v>50</v>
      </c>
      <c r="C17" s="58">
        <f>C15/C16</f>
        <v>266.42857142857144</v>
      </c>
      <c r="D17" s="59"/>
    </row>
    <row r="18" spans="1:4" ht="21" customHeight="1" x14ac:dyDescent="0.25">
      <c r="A18" s="61"/>
      <c r="B18" s="27" t="s">
        <v>70</v>
      </c>
      <c r="C18" s="58">
        <f>C17/C11</f>
        <v>266.42857142857144</v>
      </c>
      <c r="D18" s="59"/>
    </row>
    <row r="19" spans="1:4" ht="21" customHeight="1" x14ac:dyDescent="0.25">
      <c r="A19" s="61"/>
      <c r="B19" s="41" t="s">
        <v>61</v>
      </c>
      <c r="C19" s="54">
        <f>C15/C11</f>
        <v>223.8</v>
      </c>
      <c r="D19" s="55"/>
    </row>
    <row r="20" spans="1:4" ht="21" customHeight="1" x14ac:dyDescent="0.25">
      <c r="A20" s="61"/>
      <c r="B20" s="27" t="s">
        <v>45</v>
      </c>
      <c r="C20" s="58">
        <f>C3</f>
        <v>20000</v>
      </c>
      <c r="D20" s="59"/>
    </row>
    <row r="21" spans="1:4" ht="21" customHeight="1" x14ac:dyDescent="0.25">
      <c r="A21" s="61"/>
      <c r="B21" s="27" t="s">
        <v>6</v>
      </c>
      <c r="C21" s="88">
        <f>C20/24</f>
        <v>833.33333333333337</v>
      </c>
      <c r="D21" s="89"/>
    </row>
    <row r="22" spans="1:4" ht="21" customHeight="1" x14ac:dyDescent="0.25">
      <c r="A22" s="61"/>
      <c r="B22" s="27" t="s">
        <v>7</v>
      </c>
      <c r="C22" s="88">
        <f>C21/60</f>
        <v>13.888888888888889</v>
      </c>
      <c r="D22" s="89"/>
    </row>
    <row r="23" spans="1:4" ht="21" customHeight="1" x14ac:dyDescent="0.25">
      <c r="A23" s="61"/>
      <c r="B23" s="27" t="s">
        <v>5</v>
      </c>
      <c r="C23" s="88">
        <f>C22/60</f>
        <v>0.23148148148148148</v>
      </c>
      <c r="D23" s="89"/>
    </row>
    <row r="24" spans="1:4" ht="21" customHeight="1" x14ac:dyDescent="0.25">
      <c r="A24" s="61"/>
      <c r="B24" s="28" t="s">
        <v>44</v>
      </c>
      <c r="C24" s="90">
        <v>400</v>
      </c>
      <c r="D24" s="91"/>
    </row>
    <row r="25" spans="1:4" ht="21" customHeight="1" x14ac:dyDescent="0.25">
      <c r="A25" s="61"/>
      <c r="B25" s="28" t="s">
        <v>47</v>
      </c>
      <c r="C25" s="73">
        <f>(C24/1000)^2/4*PI()</f>
        <v>0.12566370614359174</v>
      </c>
      <c r="D25" s="74"/>
    </row>
    <row r="26" spans="1:4" ht="21" customHeight="1" x14ac:dyDescent="0.25">
      <c r="A26" s="61"/>
      <c r="B26" s="41" t="s">
        <v>46</v>
      </c>
      <c r="C26" s="56">
        <f>C23/C25</f>
        <v>1.8420711006006403</v>
      </c>
      <c r="D26" s="57"/>
    </row>
    <row r="27" spans="1:4" ht="21" customHeight="1" x14ac:dyDescent="0.25">
      <c r="A27" s="61"/>
      <c r="B27" s="27" t="s">
        <v>2</v>
      </c>
      <c r="C27" s="88">
        <f>C4</f>
        <v>55</v>
      </c>
      <c r="D27" s="89"/>
    </row>
    <row r="28" spans="1:4" ht="21" customHeight="1" x14ac:dyDescent="0.25">
      <c r="A28" s="61"/>
      <c r="B28" s="41" t="s">
        <v>58</v>
      </c>
      <c r="C28" s="56">
        <f>C27/C11</f>
        <v>55</v>
      </c>
      <c r="D28" s="57"/>
    </row>
    <row r="29" spans="1:4" ht="21" customHeight="1" x14ac:dyDescent="0.25">
      <c r="A29" s="61"/>
      <c r="B29" s="42" t="s">
        <v>0</v>
      </c>
      <c r="C29" s="106">
        <f>1000*9.81*C27*C23/1000</f>
        <v>124.89583333333333</v>
      </c>
      <c r="D29" s="107"/>
    </row>
    <row r="30" spans="1:4" ht="21" customHeight="1" x14ac:dyDescent="0.25">
      <c r="A30" s="61"/>
      <c r="B30" s="27" t="s">
        <v>60</v>
      </c>
      <c r="C30" s="86">
        <f>1000*9.81*C28*C23/1000</f>
        <v>124.89583333333333</v>
      </c>
      <c r="D30" s="87"/>
    </row>
    <row r="31" spans="1:4" ht="21" customHeight="1" x14ac:dyDescent="0.25">
      <c r="A31" s="61"/>
      <c r="B31" s="41" t="s">
        <v>51</v>
      </c>
      <c r="C31" s="104">
        <f>C30/C19</f>
        <v>0.55806896038129272</v>
      </c>
      <c r="D31" s="105"/>
    </row>
    <row r="32" spans="1:4" ht="21" customHeight="1" x14ac:dyDescent="0.25">
      <c r="A32" s="61"/>
      <c r="B32" s="50" t="s">
        <v>13</v>
      </c>
      <c r="C32" s="108">
        <f>C31*C16</f>
        <v>0.46877792672028584</v>
      </c>
      <c r="D32" s="109"/>
    </row>
    <row r="33" spans="1:4" ht="21" customHeight="1" x14ac:dyDescent="0.25">
      <c r="A33" s="61"/>
      <c r="B33" s="29" t="s">
        <v>12</v>
      </c>
      <c r="C33" s="86">
        <f>C18/C30</f>
        <v>2.1332062432979866</v>
      </c>
      <c r="D33" s="87"/>
    </row>
    <row r="34" spans="1:4" ht="21" customHeight="1" x14ac:dyDescent="0.25">
      <c r="A34" s="61"/>
      <c r="B34" s="43" t="s">
        <v>8</v>
      </c>
      <c r="C34" s="102">
        <f>C12*C22^0.5/C28^0.75</f>
        <v>332.14998699024733</v>
      </c>
      <c r="D34" s="103"/>
    </row>
    <row r="35" spans="1:4" ht="21" customHeight="1" x14ac:dyDescent="0.25">
      <c r="A35" s="61"/>
      <c r="B35" s="30" t="s">
        <v>52</v>
      </c>
      <c r="C35" s="112">
        <v>3</v>
      </c>
      <c r="D35" s="113"/>
    </row>
    <row r="36" spans="1:4" ht="21" customHeight="1" thickBot="1" x14ac:dyDescent="0.3">
      <c r="A36" s="62"/>
      <c r="B36" s="34" t="s">
        <v>53</v>
      </c>
      <c r="C36" s="63">
        <f>(C27-C35)/C21^2</f>
        <v>7.4879999999999988E-5</v>
      </c>
      <c r="D36" s="64"/>
    </row>
    <row r="37" spans="1:4" ht="21" customHeight="1" thickBot="1" x14ac:dyDescent="0.3">
      <c r="A37" s="60" t="s">
        <v>39</v>
      </c>
      <c r="B37" s="26" t="s">
        <v>40</v>
      </c>
      <c r="C37" s="7" t="s">
        <v>41</v>
      </c>
      <c r="D37" s="12" t="s">
        <v>42</v>
      </c>
    </row>
    <row r="38" spans="1:4" ht="21" customHeight="1" x14ac:dyDescent="0.25">
      <c r="A38" s="61"/>
      <c r="B38" s="2" t="s">
        <v>9</v>
      </c>
      <c r="C38" s="14">
        <f>C12*C23^0.5/C28^0.75</f>
        <v>42.880378935207929</v>
      </c>
      <c r="D38" s="15">
        <f>C38*3.65</f>
        <v>156.51338311350895</v>
      </c>
    </row>
    <row r="39" spans="1:4" ht="21" customHeight="1" x14ac:dyDescent="0.25">
      <c r="A39" s="61"/>
      <c r="B39" s="1" t="s">
        <v>10</v>
      </c>
      <c r="C39" s="65">
        <f>LN(C21)</f>
        <v>6.7254337221881828</v>
      </c>
      <c r="D39" s="66"/>
    </row>
    <row r="40" spans="1:4" ht="21" customHeight="1" x14ac:dyDescent="0.25">
      <c r="A40" s="61"/>
      <c r="B40" s="1" t="s">
        <v>11</v>
      </c>
      <c r="C40" s="13">
        <f>LN(C38)</f>
        <v>3.7584143538318933</v>
      </c>
      <c r="D40" s="16">
        <f>LN(D38)</f>
        <v>5.0531415214262934</v>
      </c>
    </row>
    <row r="41" spans="1:4" ht="21" customHeight="1" x14ac:dyDescent="0.25">
      <c r="A41" s="61"/>
      <c r="B41" s="3" t="s">
        <v>37</v>
      </c>
      <c r="C41" s="35" t="s">
        <v>38</v>
      </c>
      <c r="D41" s="36" t="s">
        <v>27</v>
      </c>
    </row>
    <row r="42" spans="1:4" ht="21" customHeight="1" x14ac:dyDescent="0.25">
      <c r="A42" s="61"/>
      <c r="B42" s="1" t="s">
        <v>33</v>
      </c>
      <c r="C42" s="17">
        <v>130</v>
      </c>
      <c r="D42" s="18">
        <v>150.33000000000001</v>
      </c>
    </row>
    <row r="43" spans="1:4" ht="21" customHeight="1" x14ac:dyDescent="0.25">
      <c r="A43" s="61"/>
      <c r="B43" s="37" t="s">
        <v>43</v>
      </c>
      <c r="C43" s="38">
        <f>(88.59*C40+13.46*C39-11.48*C40^2-0.85*C39^2-0.38*C39*C40-C42)/100</f>
        <v>0.83267489581235055</v>
      </c>
      <c r="D43" s="39">
        <f>(-6.93*D40^2-0.19*C39^2-0.4*D40*C39+72.67*D40+8.73*C39-D42)/100</f>
        <v>0.76454748335034284</v>
      </c>
    </row>
    <row r="44" spans="1:4" ht="21" customHeight="1" x14ac:dyDescent="0.25">
      <c r="A44" s="61"/>
      <c r="B44" s="46" t="s">
        <v>71</v>
      </c>
      <c r="C44" s="19">
        <f>C30/C43</f>
        <v>149.99351362873264</v>
      </c>
      <c r="D44" s="16">
        <f>C30/D43</f>
        <v>163.35915826447317</v>
      </c>
    </row>
    <row r="45" spans="1:4" ht="21" customHeight="1" x14ac:dyDescent="0.25">
      <c r="A45" s="61"/>
      <c r="B45" s="1" t="s">
        <v>32</v>
      </c>
      <c r="C45" s="48">
        <f>C7</f>
        <v>0.84</v>
      </c>
      <c r="D45" s="49">
        <f>C7</f>
        <v>0.84</v>
      </c>
    </row>
    <row r="46" spans="1:4" ht="21" customHeight="1" x14ac:dyDescent="0.25">
      <c r="A46" s="61"/>
      <c r="B46" s="37" t="s">
        <v>63</v>
      </c>
      <c r="C46" s="44">
        <f>C43*C45</f>
        <v>0.69944691248237445</v>
      </c>
      <c r="D46" s="45">
        <f>D45*D43</f>
        <v>0.64221988601428792</v>
      </c>
    </row>
    <row r="47" spans="1:4" ht="21" customHeight="1" x14ac:dyDescent="0.25">
      <c r="A47" s="61"/>
      <c r="B47" s="46" t="s">
        <v>62</v>
      </c>
      <c r="C47" s="19">
        <f>C44*C11</f>
        <v>149.99351362873264</v>
      </c>
      <c r="D47" s="16">
        <f>D44*C11</f>
        <v>163.35915826447317</v>
      </c>
    </row>
    <row r="48" spans="1:4" ht="21" customHeight="1" x14ac:dyDescent="0.25">
      <c r="A48" s="61"/>
      <c r="B48" s="46" t="s">
        <v>64</v>
      </c>
      <c r="C48" s="19">
        <f>C47/C45</f>
        <v>178.56370670087219</v>
      </c>
      <c r="D48" s="16">
        <f>D47/D45</f>
        <v>194.4751884100871</v>
      </c>
    </row>
    <row r="49" spans="1:4" ht="21" customHeight="1" thickBot="1" x14ac:dyDescent="0.3">
      <c r="A49" s="62"/>
      <c r="B49" s="47" t="s">
        <v>65</v>
      </c>
      <c r="C49" s="20">
        <f>C48/C29</f>
        <v>1.4297010711662828</v>
      </c>
      <c r="D49" s="21">
        <f>D48/C29</f>
        <v>1.5570990898555765</v>
      </c>
    </row>
    <row r="50" spans="1:4" ht="21" customHeight="1" x14ac:dyDescent="0.25">
      <c r="A50" s="75" t="s">
        <v>20</v>
      </c>
      <c r="B50" s="4" t="s">
        <v>19</v>
      </c>
      <c r="C50" s="8">
        <f>(C33-C49)/C33</f>
        <v>0.32978769602889801</v>
      </c>
      <c r="D50" s="22">
        <f>(C33-D49)/C33</f>
        <v>0.2700663169594586</v>
      </c>
    </row>
    <row r="51" spans="1:4" ht="21" customHeight="1" x14ac:dyDescent="0.25">
      <c r="A51" s="76"/>
      <c r="B51" s="1" t="s">
        <v>14</v>
      </c>
      <c r="C51" s="94">
        <v>8800</v>
      </c>
      <c r="D51" s="95"/>
    </row>
    <row r="52" spans="1:4" ht="21" customHeight="1" x14ac:dyDescent="0.25">
      <c r="A52" s="76"/>
      <c r="B52" s="1" t="s">
        <v>15</v>
      </c>
      <c r="C52" s="9">
        <f>C51*(C17-C48)</f>
        <v>773210.8096037535</v>
      </c>
      <c r="D52" s="23">
        <f>(C17-D48)*C51</f>
        <v>633189.77056266228</v>
      </c>
    </row>
    <row r="53" spans="1:4" ht="21" customHeight="1" x14ac:dyDescent="0.25">
      <c r="A53" s="76"/>
      <c r="B53" s="5" t="s">
        <v>34</v>
      </c>
      <c r="C53" s="96">
        <v>0.42399999999999999</v>
      </c>
      <c r="D53" s="97"/>
    </row>
    <row r="54" spans="1:4" ht="21" customHeight="1" x14ac:dyDescent="0.25">
      <c r="A54" s="76"/>
      <c r="B54" s="1" t="s">
        <v>16</v>
      </c>
      <c r="C54" s="10">
        <f>C52*C53/1000</f>
        <v>327.84138327199145</v>
      </c>
      <c r="D54" s="24">
        <f>C53*D52/1000</f>
        <v>268.47246271856881</v>
      </c>
    </row>
    <row r="55" spans="1:4" ht="21" customHeight="1" x14ac:dyDescent="0.25">
      <c r="A55" s="76"/>
      <c r="B55" s="1" t="s">
        <v>17</v>
      </c>
      <c r="C55" s="92">
        <v>3.5</v>
      </c>
      <c r="D55" s="93"/>
    </row>
    <row r="56" spans="1:4" ht="21" customHeight="1" thickBot="1" x14ac:dyDescent="0.3">
      <c r="A56" s="77"/>
      <c r="B56" s="6" t="s">
        <v>18</v>
      </c>
      <c r="C56" s="11">
        <f>C55*C52</f>
        <v>2706237.8336131372</v>
      </c>
      <c r="D56" s="25">
        <f>C55*D52</f>
        <v>2216164.1969693182</v>
      </c>
    </row>
  </sheetData>
  <mergeCells count="44">
    <mergeCell ref="A50:A56"/>
    <mergeCell ref="A37:A49"/>
    <mergeCell ref="A1:D1"/>
    <mergeCell ref="C2:D2"/>
    <mergeCell ref="C14:D14"/>
    <mergeCell ref="C15:D15"/>
    <mergeCell ref="C21:D21"/>
    <mergeCell ref="C22:D22"/>
    <mergeCell ref="C23:D23"/>
    <mergeCell ref="C27:D27"/>
    <mergeCell ref="C30:D30"/>
    <mergeCell ref="C33:D33"/>
    <mergeCell ref="C24:D24"/>
    <mergeCell ref="C55:D55"/>
    <mergeCell ref="C51:D51"/>
    <mergeCell ref="C53:D53"/>
    <mergeCell ref="C36:D36"/>
    <mergeCell ref="C39:D39"/>
    <mergeCell ref="C12:D12"/>
    <mergeCell ref="C16:D16"/>
    <mergeCell ref="C17:D17"/>
    <mergeCell ref="C20:D20"/>
    <mergeCell ref="C13:D13"/>
    <mergeCell ref="C25:D25"/>
    <mergeCell ref="C34:D34"/>
    <mergeCell ref="C26:D26"/>
    <mergeCell ref="C31:D31"/>
    <mergeCell ref="C29:D29"/>
    <mergeCell ref="C32:D32"/>
    <mergeCell ref="C35:D35"/>
    <mergeCell ref="C11:D11"/>
    <mergeCell ref="C19:D19"/>
    <mergeCell ref="C28:D28"/>
    <mergeCell ref="C18:D18"/>
    <mergeCell ref="A2:A9"/>
    <mergeCell ref="A10:A36"/>
    <mergeCell ref="C3:D3"/>
    <mergeCell ref="C4:D4"/>
    <mergeCell ref="C9:D9"/>
    <mergeCell ref="C5:D5"/>
    <mergeCell ref="C7:D7"/>
    <mergeCell ref="C8:D8"/>
    <mergeCell ref="C6:D6"/>
    <mergeCell ref="C10:D10"/>
  </mergeCells>
  <phoneticPr fontId="2" type="noConversion"/>
  <pageMargins left="0.59055118110236227" right="0.31496062992125984" top="1.0900000000000001" bottom="0.12" header="0.31496062992125984" footer="0.17"/>
  <pageSetup paperSize="9" fitToWidth="0" orientation="portrait" horizontalDpi="1200" verticalDpi="1200" r:id="rId1"/>
  <headerFooter>
    <oddHeader xml:space="preserve">&amp;C&amp;"標楷體,粗體"&amp;16空調水側系統現場初勘2
泵浦線上量測 流量、揚程、泵浦能效、管路阻抗曲線-CMVP量測 </oddHeader>
    <oddFooter xml:space="preserve">&amp;R&amp;"標楷體,粗體"&amp;14泵浦媒體圖書館 www.uberty.com.tw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選單!$A$2:$A$11</xm:f>
          </x14:formula1>
          <xm:sqref>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D24" sqref="D24"/>
    </sheetView>
  </sheetViews>
  <sheetFormatPr defaultRowHeight="16.5" x14ac:dyDescent="0.25"/>
  <cols>
    <col min="1" max="1" width="11.625" bestFit="1" customWidth="1"/>
  </cols>
  <sheetData>
    <row r="1" spans="1:2" x14ac:dyDescent="0.25">
      <c r="A1" t="s">
        <v>35</v>
      </c>
      <c r="B1" t="s">
        <v>36</v>
      </c>
    </row>
    <row r="2" spans="1:2" x14ac:dyDescent="0.25">
      <c r="A2" t="s">
        <v>21</v>
      </c>
      <c r="B2">
        <v>128.07</v>
      </c>
    </row>
    <row r="3" spans="1:2" x14ac:dyDescent="0.25">
      <c r="A3" t="s">
        <v>22</v>
      </c>
      <c r="B3">
        <v>130.27000000000001</v>
      </c>
    </row>
    <row r="4" spans="1:2" x14ac:dyDescent="0.25">
      <c r="A4" t="s">
        <v>23</v>
      </c>
      <c r="B4">
        <v>128.46</v>
      </c>
    </row>
    <row r="5" spans="1:2" x14ac:dyDescent="0.25">
      <c r="A5" t="s">
        <v>24</v>
      </c>
      <c r="B5">
        <v>130.77000000000001</v>
      </c>
    </row>
    <row r="6" spans="1:2" x14ac:dyDescent="0.25">
      <c r="A6" t="s">
        <v>25</v>
      </c>
      <c r="B6">
        <v>132.30000000000001</v>
      </c>
    </row>
    <row r="7" spans="1:2" x14ac:dyDescent="0.25">
      <c r="A7" t="s">
        <v>26</v>
      </c>
      <c r="B7">
        <v>133.69</v>
      </c>
    </row>
    <row r="8" spans="1:2" x14ac:dyDescent="0.25">
      <c r="A8" t="s">
        <v>27</v>
      </c>
      <c r="B8">
        <v>130.38</v>
      </c>
    </row>
    <row r="9" spans="1:2" x14ac:dyDescent="0.25">
      <c r="A9" t="s">
        <v>28</v>
      </c>
      <c r="B9">
        <v>133.94999999999999</v>
      </c>
    </row>
    <row r="10" spans="1:2" x14ac:dyDescent="0.25">
      <c r="A10" t="s">
        <v>29</v>
      </c>
      <c r="B10">
        <v>128.79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泵浦規格評估</vt:lpstr>
      <vt:lpstr>選單</vt:lpstr>
      <vt:lpstr>泵浦規格評估!Print_Area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SOHO-</dc:creator>
  <cp:lastModifiedBy>煥然 簡</cp:lastModifiedBy>
  <cp:lastPrinted>2023-12-01T07:15:44Z</cp:lastPrinted>
  <dcterms:created xsi:type="dcterms:W3CDTF">2021-09-06T03:13:59Z</dcterms:created>
  <dcterms:modified xsi:type="dcterms:W3CDTF">2025-05-16T14:53:29Z</dcterms:modified>
</cp:coreProperties>
</file>