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G:\我的雲端硬碟\媒體圖書館\前台選單目錄\檔案庫\3-檔案專區\泵浦閥產業\文件別\技術文件\離心泵技術\"/>
    </mc:Choice>
  </mc:AlternateContent>
  <xr:revisionPtr revIDLastSave="0" documentId="13_ncr:1_{059B7F67-2DE2-4830-86A9-1B95B4E3952F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1.1-基本資料與量測資料" sheetId="15" r:id="rId1"/>
    <sheet name="1.2-系統量測數據計算" sheetId="16" r:id="rId2"/>
    <sheet name="選單" sheetId="17" r:id="rId3"/>
  </sheets>
  <definedNames>
    <definedName name="_xlnm.Print_Area" localSheetId="0">'1.1-基本資料與量測資料'!$A:$E</definedName>
    <definedName name="_xlnm.Print_Area" localSheetId="1">'1.2-系統量測數據計算'!$A:$C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16" l="1"/>
  <c r="E31" i="15"/>
  <c r="C30" i="15"/>
  <c r="C29" i="15"/>
  <c r="E29" i="15" s="1"/>
  <c r="E27" i="15"/>
  <c r="C28" i="15"/>
  <c r="C23" i="16"/>
  <c r="C16" i="16"/>
  <c r="E23" i="15"/>
  <c r="E25" i="15" s="1"/>
  <c r="C15" i="16"/>
  <c r="E26" i="15"/>
  <c r="C27" i="15" s="1"/>
  <c r="E21" i="15"/>
  <c r="C4" i="16" s="1"/>
  <c r="E15" i="15"/>
  <c r="C3" i="16"/>
  <c r="C25" i="15"/>
  <c r="E28" i="15" l="1"/>
  <c r="C31" i="15" s="1"/>
  <c r="C5" i="16" s="1"/>
  <c r="C6" i="16" l="1"/>
  <c r="C7" i="16"/>
  <c r="C17" i="16"/>
  <c r="C8" i="16" l="1"/>
  <c r="C14" i="16"/>
  <c r="C11" i="16"/>
  <c r="C19" i="16"/>
  <c r="C21" i="16" l="1"/>
  <c r="D19" i="16"/>
  <c r="D21" i="16" s="1"/>
  <c r="C20" i="16"/>
  <c r="C24" i="16" s="1"/>
  <c r="C27" i="16" s="1"/>
  <c r="C9" i="16"/>
  <c r="C13" i="16"/>
  <c r="C12" i="16"/>
  <c r="D24" i="16" l="1"/>
  <c r="D27" i="16" s="1"/>
  <c r="C28" i="16"/>
  <c r="C29" i="16" s="1"/>
  <c r="C30" i="16" s="1"/>
  <c r="C31" i="16" s="1"/>
  <c r="C25" i="16"/>
  <c r="D25" i="16" l="1"/>
  <c r="D28" i="16" s="1"/>
  <c r="D29" i="16" s="1"/>
  <c r="D30" i="16"/>
  <c r="D31" i="16" s="1"/>
  <c r="D33" i="16"/>
  <c r="C33" i="16"/>
  <c r="C35" i="16" s="1"/>
  <c r="D37" i="16" l="1"/>
  <c r="D35" i="16"/>
  <c r="C37" i="16"/>
</calcChain>
</file>

<file path=xl/sharedStrings.xml><?xml version="1.0" encoding="utf-8"?>
<sst xmlns="http://schemas.openxmlformats.org/spreadsheetml/2006/main" count="119" uniqueCount="117">
  <si>
    <t>量測值</t>
    <phoneticPr fontId="2" type="noConversion"/>
  </si>
  <si>
    <t>流功 kW</t>
    <phoneticPr fontId="2" type="noConversion"/>
  </si>
  <si>
    <t>設備</t>
    <phoneticPr fontId="3" type="noConversion"/>
  </si>
  <si>
    <t>流量 Lpm</t>
    <phoneticPr fontId="2" type="noConversion"/>
  </si>
  <si>
    <t>揚程 m</t>
    <phoneticPr fontId="2" type="noConversion"/>
  </si>
  <si>
    <t>額定馬力hp</t>
    <phoneticPr fontId="2" type="noConversion"/>
  </si>
  <si>
    <t>額定揚程m</t>
    <phoneticPr fontId="2" type="noConversion"/>
  </si>
  <si>
    <t>馬達效率%</t>
    <phoneticPr fontId="2" type="noConversion"/>
  </si>
  <si>
    <t>泵入口壓力bar</t>
    <phoneticPr fontId="2" type="noConversion"/>
  </si>
  <si>
    <t>額定流量Lpm</t>
    <phoneticPr fontId="2" type="noConversion"/>
  </si>
  <si>
    <t>額定轉速rpm</t>
    <phoneticPr fontId="2" type="noConversion"/>
  </si>
  <si>
    <t>運轉耗電量kW</t>
    <phoneticPr fontId="2" type="noConversion"/>
  </si>
  <si>
    <t>泵出口壓力bar</t>
    <phoneticPr fontId="2" type="noConversion"/>
  </si>
  <si>
    <t>XXX</t>
    <phoneticPr fontId="2" type="noConversion"/>
  </si>
  <si>
    <t>額定值</t>
    <phoneticPr fontId="2" type="noConversion"/>
  </si>
  <si>
    <t>計算值</t>
    <phoneticPr fontId="2" type="noConversion"/>
  </si>
  <si>
    <t>出口徑mm</t>
    <phoneticPr fontId="2" type="noConversion"/>
  </si>
  <si>
    <t>入口徑mm</t>
    <phoneticPr fontId="2" type="noConversion"/>
  </si>
  <si>
    <t>殷聖節能泵浦</t>
    <phoneticPr fontId="2" type="noConversion"/>
  </si>
  <si>
    <t>流量Lpm</t>
    <phoneticPr fontId="2" type="noConversion"/>
  </si>
  <si>
    <t>XXXXXXX</t>
    <phoneticPr fontId="2" type="noConversion"/>
  </si>
  <si>
    <t>管路用途</t>
    <phoneticPr fontId="2" type="noConversion"/>
  </si>
  <si>
    <t>管路型式</t>
    <phoneticPr fontId="2" type="noConversion"/>
  </si>
  <si>
    <t>系統量測數據</t>
    <phoneticPr fontId="2" type="noConversion"/>
  </si>
  <si>
    <t>轉速rpm</t>
    <phoneticPr fontId="2" type="noConversion"/>
  </si>
  <si>
    <t>流量 cms</t>
    <phoneticPr fontId="2" type="noConversion"/>
  </si>
  <si>
    <t>流量 cmh</t>
    <phoneticPr fontId="2" type="noConversion"/>
  </si>
  <si>
    <t>流量 cmm</t>
    <phoneticPr fontId="2" type="noConversion"/>
  </si>
  <si>
    <t>比速率Ns-cmm</t>
    <phoneticPr fontId="2" type="noConversion"/>
  </si>
  <si>
    <t>比速率Ns-cms</t>
    <phoneticPr fontId="2" type="noConversion"/>
  </si>
  <si>
    <t>ln(Q(cmh))</t>
    <phoneticPr fontId="2" type="noConversion"/>
  </si>
  <si>
    <t>ln(Ns(cms))</t>
    <phoneticPr fontId="2" type="noConversion"/>
  </si>
  <si>
    <t>耗電比(耗電功/流功)</t>
    <phoneticPr fontId="3" type="noConversion"/>
  </si>
  <si>
    <t>泵浦總效率%</t>
    <phoneticPr fontId="2" type="noConversion"/>
  </si>
  <si>
    <t>量測值
+
計算值</t>
    <phoneticPr fontId="2" type="noConversion"/>
  </si>
  <si>
    <t>耗電功kW</t>
    <phoneticPr fontId="2" type="noConversion"/>
  </si>
  <si>
    <t>年運轉時數hrs</t>
    <phoneticPr fontId="2" type="noConversion"/>
  </si>
  <si>
    <t>年節省電量kWh</t>
    <phoneticPr fontId="2" type="noConversion"/>
  </si>
  <si>
    <t>年節省排碳量ton</t>
    <phoneticPr fontId="2" type="noConversion"/>
  </si>
  <si>
    <t>每度電費NT/kWh</t>
    <phoneticPr fontId="2" type="noConversion"/>
  </si>
  <si>
    <t>年節省電費NT</t>
    <phoneticPr fontId="2" type="noConversion"/>
  </si>
  <si>
    <t>節電率%</t>
    <phoneticPr fontId="2" type="noConversion"/>
  </si>
  <si>
    <t>節能
+
省碳</t>
    <phoneticPr fontId="2" type="noConversion"/>
  </si>
  <si>
    <t>ESOB-1450</t>
    <phoneticPr fontId="2" type="noConversion"/>
  </si>
  <si>
    <t>ESOB-2900</t>
    <phoneticPr fontId="2" type="noConversion"/>
  </si>
  <si>
    <t>ESCC-1450</t>
    <phoneticPr fontId="2" type="noConversion"/>
  </si>
  <si>
    <t>ESCC-2900</t>
    <phoneticPr fontId="2" type="noConversion"/>
  </si>
  <si>
    <t>ESCCI-1450</t>
    <phoneticPr fontId="2" type="noConversion"/>
  </si>
  <si>
    <t>ESCCI-2900</t>
    <phoneticPr fontId="2" type="noConversion"/>
  </si>
  <si>
    <t>MS-1450</t>
    <phoneticPr fontId="2" type="noConversion"/>
  </si>
  <si>
    <t>MS-2900</t>
    <phoneticPr fontId="2" type="noConversion"/>
  </si>
  <si>
    <t>MSS-2900</t>
    <phoneticPr fontId="2" type="noConversion"/>
  </si>
  <si>
    <r>
      <t>靜位差 m, C</t>
    </r>
    <r>
      <rPr>
        <vertAlign val="subscript"/>
        <sz val="14"/>
        <color rgb="FF000000"/>
        <rFont val="標楷體"/>
        <family val="4"/>
        <charset val="136"/>
      </rPr>
      <t>0</t>
    </r>
    <phoneticPr fontId="2" type="noConversion"/>
  </si>
  <si>
    <r>
      <t>管路阻抗係數C</t>
    </r>
    <r>
      <rPr>
        <vertAlign val="subscript"/>
        <sz val="14"/>
        <color rgb="FF000000"/>
        <rFont val="標楷體"/>
        <family val="4"/>
        <charset val="136"/>
      </rPr>
      <t>1</t>
    </r>
    <phoneticPr fontId="2" type="noConversion"/>
  </si>
  <si>
    <t>公司資料</t>
    <phoneticPr fontId="2" type="noConversion"/>
  </si>
  <si>
    <t>量測公司名稱</t>
    <phoneticPr fontId="2" type="noConversion"/>
  </si>
  <si>
    <t>委託公司名稱</t>
    <phoneticPr fontId="2" type="noConversion"/>
  </si>
  <si>
    <t>委託公司聯絡人姓名</t>
    <phoneticPr fontId="2" type="noConversion"/>
  </si>
  <si>
    <t>委託公司聯絡人Email</t>
    <phoneticPr fontId="2" type="noConversion"/>
  </si>
  <si>
    <t>量測公司聯絡人姓名</t>
    <phoneticPr fontId="2" type="noConversion"/>
  </si>
  <si>
    <t>量測公司聯絡人Email</t>
    <phoneticPr fontId="2" type="noConversion"/>
  </si>
  <si>
    <t>量測環境溫度</t>
    <phoneticPr fontId="2" type="noConversion"/>
  </si>
  <si>
    <t>量測日期</t>
    <phoneticPr fontId="2" type="noConversion"/>
  </si>
  <si>
    <t>委託公司電話</t>
    <phoneticPr fontId="2" type="noConversion"/>
  </si>
  <si>
    <t>委託公司聯絡人部門</t>
    <phoneticPr fontId="2" type="noConversion"/>
  </si>
  <si>
    <t>委託公司地址</t>
    <phoneticPr fontId="2" type="noConversion"/>
  </si>
  <si>
    <t>量測公司電話</t>
    <phoneticPr fontId="2" type="noConversion"/>
  </si>
  <si>
    <t>量測公司聯絡人部門</t>
    <phoneticPr fontId="2" type="noConversion"/>
  </si>
  <si>
    <t>量測公司地址</t>
    <phoneticPr fontId="2" type="noConversion"/>
  </si>
  <si>
    <t>量測環境濕度</t>
    <phoneticPr fontId="2" type="noConversion"/>
  </si>
  <si>
    <t>其他描述</t>
    <phoneticPr fontId="2" type="noConversion"/>
  </si>
  <si>
    <t>電壓V</t>
    <phoneticPr fontId="2" type="noConversion"/>
  </si>
  <si>
    <t>電流A</t>
    <phoneticPr fontId="2" type="noConversion"/>
  </si>
  <si>
    <t>功因PF</t>
    <phoneticPr fontId="2" type="noConversion"/>
  </si>
  <si>
    <t>頻率Hz</t>
    <phoneticPr fontId="2" type="noConversion"/>
  </si>
  <si>
    <t>額定軸功kW</t>
    <phoneticPr fontId="2" type="noConversion"/>
  </si>
  <si>
    <t>馬達極數</t>
    <phoneticPr fontId="2" type="noConversion"/>
  </si>
  <si>
    <r>
      <t>管截面積mm</t>
    </r>
    <r>
      <rPr>
        <vertAlign val="superscript"/>
        <sz val="18"/>
        <color rgb="FF000000"/>
        <rFont val="標楷體"/>
        <family val="4"/>
        <charset val="136"/>
      </rPr>
      <t>2</t>
    </r>
    <phoneticPr fontId="2" type="noConversion"/>
  </si>
  <si>
    <t>等效管外徑mm</t>
    <phoneticPr fontId="2" type="noConversion"/>
  </si>
  <si>
    <t>等效管內徑mm</t>
    <phoneticPr fontId="2" type="noConversion"/>
  </si>
  <si>
    <r>
      <t>流量m</t>
    </r>
    <r>
      <rPr>
        <vertAlign val="superscript"/>
        <sz val="18"/>
        <color rgb="FF000000"/>
        <rFont val="標楷體"/>
        <family val="4"/>
        <charset val="136"/>
      </rPr>
      <t>3</t>
    </r>
    <r>
      <rPr>
        <sz val="18"/>
        <color rgb="FF000000"/>
        <rFont val="標楷體"/>
        <family val="4"/>
        <charset val="136"/>
      </rPr>
      <t>/s</t>
    </r>
    <phoneticPr fontId="2" type="noConversion"/>
  </si>
  <si>
    <t>流量cmm</t>
    <phoneticPr fontId="2" type="noConversion"/>
  </si>
  <si>
    <t>出入口壓力差bar</t>
    <phoneticPr fontId="2" type="noConversion"/>
  </si>
  <si>
    <t>壓力錶高度差m</t>
    <phoneticPr fontId="2" type="noConversion"/>
  </si>
  <si>
    <t>管路型態</t>
    <phoneticPr fontId="2" type="noConversion"/>
  </si>
  <si>
    <t>歐盟泵浦輸入軸功kW</t>
    <phoneticPr fontId="2" type="noConversion"/>
  </si>
  <si>
    <t>歐盟泵浦總能效%</t>
    <phoneticPr fontId="2" type="noConversion"/>
  </si>
  <si>
    <t>歐盟泵浦耗電功kW</t>
    <phoneticPr fontId="2" type="noConversion"/>
  </si>
  <si>
    <t>IE3馬達能效</t>
    <phoneticPr fontId="2" type="noConversion"/>
  </si>
  <si>
    <t>能效C值</t>
    <phoneticPr fontId="2" type="noConversion"/>
  </si>
  <si>
    <t>歐盟泵浦耗電比(耗電功/流功)</t>
    <phoneticPr fontId="3" type="noConversion"/>
  </si>
  <si>
    <t>電力排碳係數kg/kWh</t>
    <phoneticPr fontId="2" type="noConversion"/>
  </si>
  <si>
    <t>額定電壓V</t>
    <phoneticPr fontId="2" type="noConversion"/>
  </si>
  <si>
    <t>額定電流A</t>
    <phoneticPr fontId="2" type="noConversion"/>
  </si>
  <si>
    <t>泵入口流速m/s</t>
    <phoneticPr fontId="2" type="noConversion"/>
  </si>
  <si>
    <t>泵出口流速m/s</t>
    <phoneticPr fontId="2" type="noConversion"/>
  </si>
  <si>
    <t>機型</t>
    <phoneticPr fontId="2" type="noConversion"/>
  </si>
  <si>
    <t>C值</t>
    <phoneticPr fontId="2" type="noConversion"/>
  </si>
  <si>
    <t>泵浦型式</t>
    <phoneticPr fontId="2" type="noConversion"/>
  </si>
  <si>
    <t>抽水站</t>
    <phoneticPr fontId="2" type="noConversion"/>
  </si>
  <si>
    <t>開迴路</t>
    <phoneticPr fontId="2" type="noConversion"/>
  </si>
  <si>
    <t>豎軸泵數據</t>
    <phoneticPr fontId="2" type="noConversion"/>
  </si>
  <si>
    <t>水位差m</t>
    <phoneticPr fontId="2" type="noConversion"/>
  </si>
  <si>
    <t>入口壓力錶離水面高m</t>
    <phoneticPr fontId="2" type="noConversion"/>
  </si>
  <si>
    <t>出口壓力錶離水面高m</t>
    <phoneticPr fontId="2" type="noConversion"/>
  </si>
  <si>
    <t>豎軸泵hp</t>
    <phoneticPr fontId="2" type="noConversion"/>
  </si>
  <si>
    <t>MS-1450</t>
  </si>
  <si>
    <t>能效計算</t>
  </si>
  <si>
    <t>歐盟與中國能效計算</t>
    <phoneticPr fontId="2" type="noConversion"/>
  </si>
  <si>
    <t>歐盟能效</t>
    <phoneticPr fontId="2" type="noConversion"/>
  </si>
  <si>
    <t>中國3級能效</t>
    <phoneticPr fontId="2" type="noConversion"/>
  </si>
  <si>
    <t>流量 cmd</t>
    <phoneticPr fontId="2" type="noConversion"/>
  </si>
  <si>
    <t>泵浦效率(MEI=0.4%)</t>
    <phoneticPr fontId="2" type="noConversion"/>
  </si>
  <si>
    <t>流量(cmh)</t>
    <phoneticPr fontId="2" type="noConversion"/>
  </si>
  <si>
    <r>
      <t>管截面積m</t>
    </r>
    <r>
      <rPr>
        <vertAlign val="superscript"/>
        <sz val="18"/>
        <color rgb="FF000000"/>
        <rFont val="標楷體"/>
        <family val="4"/>
        <charset val="136"/>
      </rPr>
      <t>2</t>
    </r>
    <phoneticPr fontId="2" type="noConversion"/>
  </si>
  <si>
    <t>揚程m</t>
    <phoneticPr fontId="2" type="noConversion"/>
  </si>
  <si>
    <r>
      <t>流量m</t>
    </r>
    <r>
      <rPr>
        <vertAlign val="superscript"/>
        <sz val="18"/>
        <color rgb="FF000000"/>
        <rFont val="標楷體"/>
        <family val="4"/>
        <charset val="136"/>
      </rPr>
      <t>3</t>
    </r>
    <r>
      <rPr>
        <sz val="18"/>
        <color rgb="FF000000"/>
        <rFont val="標楷體"/>
        <family val="4"/>
        <charset val="136"/>
      </rPr>
      <t>/d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</si>
</sst>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76" formatCode="&quot;$&quot;#,##0.00_);[Red]\(&quot;$&quot;#,##0.00\)"/>
    <numFmt numFmtId="177" formatCode="0.00_);[Red]\(0.00\)"/>
    <numFmt numFmtId="178" formatCode="0.000_);[Red]\(0.000\)"/>
    <numFmt numFmtId="179" formatCode="0.0%"/>
    <numFmt numFmtId="180" formatCode="0.0_ "/>
    <numFmt numFmtId="181" formatCode="0.00_ "/>
    <numFmt numFmtId="182" formatCode="0_ "/>
    <numFmt numFmtId="183" formatCode="0_);[Red]\(0\)"/>
    <numFmt numFmtId="184" formatCode="0.0_);[Red]\(0.0\)"/>
    <numFmt numFmtId="185" formatCode="0.00000_ "/>
    <numFmt numFmtId="186" formatCode="0.000000_);[Red]\(0.000000\)"/>
    <numFmt numFmtId="187" formatCode="0.0000000000_);[Red]\(0.0000000000\)"/>
    <numFmt numFmtId="188" formatCode="&quot;$&quot;#,##0.00"/>
  </numFmts>
  <fonts count="19" x14ac:knownFonts="1">
    <font>
      <sz val="12"/>
      <color rgb="FF000000"/>
      <name val="新細明體"/>
      <family val="2"/>
      <charset val="136"/>
      <scheme val="minor"/>
    </font>
    <font>
      <sz val="12"/>
      <color rgb="FF000000"/>
      <name val="新細明體"/>
      <family val="2"/>
      <charset val="136"/>
      <scheme val="minor"/>
    </font>
    <font>
      <sz val="9"/>
      <color rgb="FF000000"/>
      <name val="新細明體"/>
      <family val="2"/>
      <charset val="136"/>
      <scheme val="minor"/>
    </font>
    <font>
      <sz val="9"/>
      <color rgb="FF000000"/>
      <name val="新細明體"/>
      <family val="1"/>
      <charset val="136"/>
    </font>
    <font>
      <sz val="12"/>
      <color rgb="FF000000"/>
      <name val="新細明體"/>
      <family val="1"/>
      <charset val="136"/>
      <scheme val="minor"/>
    </font>
    <font>
      <sz val="11"/>
      <color rgb="FF000000"/>
      <name val="新細明體"/>
      <family val="2"/>
      <charset val="136"/>
      <scheme val="minor"/>
    </font>
    <font>
      <b/>
      <sz val="18"/>
      <color rgb="FF000000"/>
      <name val="標楷體"/>
      <family val="4"/>
      <charset val="136"/>
    </font>
    <font>
      <sz val="18"/>
      <color rgb="FF000000"/>
      <name val="標楷體"/>
      <family val="4"/>
      <charset val="136"/>
    </font>
    <font>
      <sz val="14"/>
      <color rgb="FF000000"/>
      <name val="標楷體"/>
      <family val="4"/>
      <charset val="136"/>
    </font>
    <font>
      <sz val="18"/>
      <color rgb="FF000000"/>
      <name val="標楷體"/>
      <family val="4"/>
      <charset val="136"/>
    </font>
    <font>
      <sz val="18"/>
      <color rgb="FF000000"/>
      <name val="標楷體"/>
      <family val="4"/>
      <charset val="136"/>
    </font>
    <font>
      <b/>
      <sz val="14"/>
      <color rgb="FF000000"/>
      <name val="標楷體"/>
      <family val="4"/>
      <charset val="136"/>
    </font>
    <font>
      <sz val="12"/>
      <color rgb="FF000000"/>
      <name val="標楷體"/>
      <family val="4"/>
      <charset val="136"/>
    </font>
    <font>
      <sz val="14"/>
      <color rgb="FF000000"/>
      <name val="標楷體"/>
      <family val="4"/>
      <charset val="136"/>
    </font>
    <font>
      <b/>
      <sz val="12"/>
      <color rgb="FFFF0000"/>
      <name val="標楷體"/>
      <family val="4"/>
      <charset val="136"/>
    </font>
    <font>
      <sz val="12"/>
      <color rgb="FFFF0000"/>
      <name val="標楷體"/>
      <family val="4"/>
      <charset val="136"/>
    </font>
    <font>
      <b/>
      <sz val="16"/>
      <color rgb="FF000000"/>
      <name val="標楷體"/>
      <family val="4"/>
      <charset val="136"/>
    </font>
    <font>
      <vertAlign val="subscript"/>
      <sz val="14"/>
      <color rgb="FF000000"/>
      <name val="標楷體"/>
      <family val="4"/>
      <charset val="136"/>
    </font>
    <font>
      <vertAlign val="superscript"/>
      <sz val="18"/>
      <color rgb="FF000000"/>
      <name val="標楷體"/>
      <family val="4"/>
      <charset val="136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0CECE"/>
        <bgColor indexed="64"/>
      </patternFill>
    </fill>
  </fills>
  <borders count="36">
    <border>
      <left/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indexed="64"/>
      </right>
      <top style="medium">
        <color auto="1"/>
      </top>
      <bottom/>
      <diagonal/>
    </border>
    <border>
      <left style="medium">
        <color auto="1"/>
      </left>
      <right style="medium">
        <color indexed="64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4" fillId="0" borderId="0">
      <alignment vertical="center"/>
    </xf>
    <xf numFmtId="9" fontId="4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9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9" fontId="1" fillId="0" borderId="0">
      <alignment vertical="center"/>
    </xf>
  </cellStyleXfs>
  <cellXfs count="127">
    <xf numFmtId="0" fontId="0" fillId="0" borderId="0" xfId="0">
      <alignment vertical="center"/>
    </xf>
    <xf numFmtId="0" fontId="7" fillId="0" borderId="3" xfId="0" applyFont="1" applyBorder="1" applyAlignment="1">
      <alignment horizontal="left" vertical="center" wrapText="1" readingOrder="1"/>
    </xf>
    <xf numFmtId="0" fontId="10" fillId="0" borderId="5" xfId="0" applyFont="1" applyBorder="1" applyAlignment="1">
      <alignment vertical="top" wrapText="1"/>
    </xf>
    <xf numFmtId="0" fontId="9" fillId="0" borderId="3" xfId="0" applyFont="1" applyBorder="1" applyAlignment="1">
      <alignment horizontal="right" vertical="center"/>
    </xf>
    <xf numFmtId="0" fontId="9" fillId="0" borderId="3" xfId="0" applyFont="1" applyBorder="1">
      <alignment vertical="center"/>
    </xf>
    <xf numFmtId="0" fontId="9" fillId="0" borderId="9" xfId="0" applyFont="1" applyBorder="1">
      <alignment vertical="center"/>
    </xf>
    <xf numFmtId="0" fontId="9" fillId="0" borderId="0" xfId="0" applyFont="1">
      <alignment vertical="center"/>
    </xf>
    <xf numFmtId="0" fontId="9" fillId="2" borderId="3" xfId="0" applyFont="1" applyFill="1" applyBorder="1">
      <alignment vertical="center"/>
    </xf>
    <xf numFmtId="0" fontId="9" fillId="4" borderId="3" xfId="0" applyFont="1" applyFill="1" applyBorder="1">
      <alignment vertical="center"/>
    </xf>
    <xf numFmtId="0" fontId="9" fillId="4" borderId="9" xfId="0" applyFont="1" applyFill="1" applyBorder="1">
      <alignment vertical="center"/>
    </xf>
    <xf numFmtId="0" fontId="10" fillId="0" borderId="3" xfId="0" applyFont="1" applyBorder="1" applyAlignment="1">
      <alignment horizontal="center" vertical="top" wrapText="1"/>
    </xf>
    <xf numFmtId="0" fontId="10" fillId="0" borderId="6" xfId="0" applyFont="1" applyBorder="1" applyAlignment="1">
      <alignment horizontal="center" vertical="top" wrapText="1"/>
    </xf>
    <xf numFmtId="180" fontId="9" fillId="4" borderId="3" xfId="0" applyNumberFormat="1" applyFont="1" applyFill="1" applyBorder="1">
      <alignment vertical="center"/>
    </xf>
    <xf numFmtId="0" fontId="7" fillId="0" borderId="6" xfId="0" applyFont="1" applyBorder="1" applyAlignment="1">
      <alignment horizontal="left" vertical="center" wrapText="1" readingOrder="1"/>
    </xf>
    <xf numFmtId="177" fontId="9" fillId="2" borderId="3" xfId="0" applyNumberFormat="1" applyFont="1" applyFill="1" applyBorder="1">
      <alignment vertical="center"/>
    </xf>
    <xf numFmtId="177" fontId="9" fillId="4" borderId="3" xfId="0" applyNumberFormat="1" applyFont="1" applyFill="1" applyBorder="1">
      <alignment vertical="center"/>
    </xf>
    <xf numFmtId="178" fontId="9" fillId="4" borderId="3" xfId="0" applyNumberFormat="1" applyFont="1" applyFill="1" applyBorder="1">
      <alignment vertical="center"/>
    </xf>
    <xf numFmtId="183" fontId="9" fillId="0" borderId="3" xfId="0" applyNumberFormat="1" applyFont="1" applyBorder="1">
      <alignment vertical="center"/>
    </xf>
    <xf numFmtId="184" fontId="9" fillId="0" borderId="3" xfId="0" applyNumberFormat="1" applyFont="1" applyBorder="1">
      <alignment vertical="center"/>
    </xf>
    <xf numFmtId="177" fontId="9" fillId="0" borderId="3" xfId="0" applyNumberFormat="1" applyFont="1" applyBorder="1">
      <alignment vertical="center"/>
    </xf>
    <xf numFmtId="182" fontId="9" fillId="4" borderId="3" xfId="0" applyNumberFormat="1" applyFont="1" applyFill="1" applyBorder="1">
      <alignment vertical="center"/>
    </xf>
    <xf numFmtId="181" fontId="9" fillId="2" borderId="3" xfId="0" applyNumberFormat="1" applyFont="1" applyFill="1" applyBorder="1">
      <alignment vertical="center"/>
    </xf>
    <xf numFmtId="186" fontId="9" fillId="2" borderId="3" xfId="0" applyNumberFormat="1" applyFont="1" applyFill="1" applyBorder="1">
      <alignment vertical="center"/>
    </xf>
    <xf numFmtId="185" fontId="9" fillId="2" borderId="3" xfId="0" applyNumberFormat="1" applyFont="1" applyFill="1" applyBorder="1">
      <alignment vertical="center"/>
    </xf>
    <xf numFmtId="0" fontId="9" fillId="0" borderId="4" xfId="0" applyFont="1" applyBorder="1">
      <alignment vertical="center"/>
    </xf>
    <xf numFmtId="0" fontId="9" fillId="5" borderId="9" xfId="0" applyFont="1" applyFill="1" applyBorder="1">
      <alignment vertical="center"/>
    </xf>
    <xf numFmtId="184" fontId="9" fillId="5" borderId="3" xfId="0" applyNumberFormat="1" applyFont="1" applyFill="1" applyBorder="1">
      <alignment vertical="center"/>
    </xf>
    <xf numFmtId="0" fontId="9" fillId="5" borderId="3" xfId="0" applyFont="1" applyFill="1" applyBorder="1">
      <alignment vertical="center"/>
    </xf>
    <xf numFmtId="183" fontId="9" fillId="5" borderId="3" xfId="0" applyNumberFormat="1" applyFont="1" applyFill="1" applyBorder="1">
      <alignment vertical="center"/>
    </xf>
    <xf numFmtId="0" fontId="7" fillId="0" borderId="6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7" fillId="0" borderId="3" xfId="0" applyFont="1" applyBorder="1">
      <alignment vertical="center"/>
    </xf>
    <xf numFmtId="0" fontId="7" fillId="4" borderId="9" xfId="0" applyFont="1" applyFill="1" applyBorder="1">
      <alignment vertical="center"/>
    </xf>
    <xf numFmtId="0" fontId="7" fillId="4" borderId="3" xfId="0" applyFont="1" applyFill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6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87" fontId="8" fillId="0" borderId="17" xfId="0" applyNumberFormat="1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179" fontId="14" fillId="0" borderId="24" xfId="0" applyNumberFormat="1" applyFont="1" applyBorder="1">
      <alignment vertical="center"/>
    </xf>
    <xf numFmtId="180" fontId="14" fillId="0" borderId="25" xfId="0" applyNumberFormat="1" applyFont="1" applyBorder="1">
      <alignment vertical="center"/>
    </xf>
    <xf numFmtId="181" fontId="14" fillId="0" borderId="25" xfId="0" applyNumberFormat="1" applyFont="1" applyBorder="1">
      <alignment vertical="center"/>
    </xf>
    <xf numFmtId="176" fontId="15" fillId="0" borderId="27" xfId="0" applyNumberFormat="1" applyFont="1" applyBorder="1">
      <alignment vertical="center"/>
    </xf>
    <xf numFmtId="0" fontId="12" fillId="0" borderId="17" xfId="0" applyFont="1" applyBorder="1" applyAlignment="1">
      <alignment horizontal="center" vertical="center"/>
    </xf>
    <xf numFmtId="181" fontId="8" fillId="0" borderId="25" xfId="0" applyNumberFormat="1" applyFont="1" applyBorder="1">
      <alignment vertical="center"/>
    </xf>
    <xf numFmtId="181" fontId="8" fillId="0" borderId="25" xfId="0" applyNumberFormat="1" applyFont="1" applyBorder="1" applyAlignment="1">
      <alignment horizontal="center" vertical="center"/>
    </xf>
    <xf numFmtId="181" fontId="8" fillId="0" borderId="24" xfId="0" applyNumberFormat="1" applyFont="1" applyBorder="1">
      <alignment vertical="center"/>
    </xf>
    <xf numFmtId="181" fontId="12" fillId="0" borderId="10" xfId="0" applyNumberFormat="1" applyFont="1" applyBorder="1">
      <alignment vertical="center"/>
    </xf>
    <xf numFmtId="181" fontId="12" fillId="0" borderId="1" xfId="0" applyNumberFormat="1" applyFont="1" applyBorder="1">
      <alignment vertical="center"/>
    </xf>
    <xf numFmtId="177" fontId="8" fillId="0" borderId="25" xfId="0" applyNumberFormat="1" applyFont="1" applyBorder="1">
      <alignment vertical="center"/>
    </xf>
    <xf numFmtId="0" fontId="12" fillId="0" borderId="1" xfId="0" applyFont="1" applyBorder="1">
      <alignment vertical="center"/>
    </xf>
    <xf numFmtId="10" fontId="8" fillId="0" borderId="25" xfId="0" applyNumberFormat="1" applyFont="1" applyBorder="1">
      <alignment vertical="center"/>
    </xf>
    <xf numFmtId="10" fontId="12" fillId="0" borderId="1" xfId="0" applyNumberFormat="1" applyFont="1" applyBorder="1">
      <alignment vertical="center"/>
    </xf>
    <xf numFmtId="181" fontId="12" fillId="0" borderId="25" xfId="0" applyNumberFormat="1" applyFont="1" applyBorder="1">
      <alignment vertical="center"/>
    </xf>
    <xf numFmtId="10" fontId="12" fillId="0" borderId="25" xfId="0" applyNumberFormat="1" applyFont="1" applyBorder="1">
      <alignment vertical="center"/>
    </xf>
    <xf numFmtId="9" fontId="12" fillId="0" borderId="1" xfId="0" applyNumberFormat="1" applyFont="1" applyBorder="1">
      <alignment vertical="center"/>
    </xf>
    <xf numFmtId="181" fontId="12" fillId="0" borderId="26" xfId="0" applyNumberFormat="1" applyFont="1" applyBorder="1">
      <alignment vertical="center"/>
    </xf>
    <xf numFmtId="181" fontId="12" fillId="0" borderId="12" xfId="0" applyNumberFormat="1" applyFont="1" applyBorder="1">
      <alignment vertical="center"/>
    </xf>
    <xf numFmtId="10" fontId="15" fillId="0" borderId="10" xfId="0" applyNumberFormat="1" applyFont="1" applyBorder="1">
      <alignment vertical="center"/>
    </xf>
    <xf numFmtId="180" fontId="15" fillId="0" borderId="1" xfId="0" applyNumberFormat="1" applyFont="1" applyBorder="1">
      <alignment vertical="center"/>
    </xf>
    <xf numFmtId="181" fontId="15" fillId="0" borderId="1" xfId="0" applyNumberFormat="1" applyFont="1" applyBorder="1">
      <alignment vertical="center"/>
    </xf>
    <xf numFmtId="188" fontId="15" fillId="0" borderId="2" xfId="0" applyNumberFormat="1" applyFont="1" applyBorder="1">
      <alignment vertical="center"/>
    </xf>
    <xf numFmtId="0" fontId="9" fillId="2" borderId="9" xfId="0" applyFont="1" applyFill="1" applyBorder="1">
      <alignment vertical="center"/>
    </xf>
    <xf numFmtId="0" fontId="7" fillId="2" borderId="3" xfId="0" applyFont="1" applyFill="1" applyBorder="1">
      <alignment vertical="center"/>
    </xf>
    <xf numFmtId="178" fontId="9" fillId="2" borderId="3" xfId="0" applyNumberFormat="1" applyFont="1" applyFill="1" applyBorder="1">
      <alignment vertical="center"/>
    </xf>
    <xf numFmtId="0" fontId="7" fillId="2" borderId="9" xfId="0" applyFont="1" applyFill="1" applyBorder="1">
      <alignment vertical="center"/>
    </xf>
    <xf numFmtId="0" fontId="9" fillId="4" borderId="5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 readingOrder="1"/>
    </xf>
    <xf numFmtId="0" fontId="7" fillId="0" borderId="4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84" fontId="12" fillId="0" borderId="25" xfId="0" applyNumberFormat="1" applyFont="1" applyBorder="1" applyAlignment="1">
      <alignment horizontal="center" vertical="center"/>
    </xf>
    <xf numFmtId="184" fontId="12" fillId="0" borderId="35" xfId="0" applyNumberFormat="1" applyFont="1" applyBorder="1" applyAlignment="1">
      <alignment horizontal="center" vertical="center"/>
    </xf>
    <xf numFmtId="177" fontId="8" fillId="3" borderId="25" xfId="0" applyNumberFormat="1" applyFont="1" applyFill="1" applyBorder="1" applyAlignment="1">
      <alignment horizontal="center" vertical="center"/>
    </xf>
    <xf numFmtId="177" fontId="8" fillId="3" borderId="35" xfId="0" applyNumberFormat="1" applyFont="1" applyFill="1" applyBorder="1" applyAlignment="1">
      <alignment horizontal="center" vertical="center"/>
    </xf>
    <xf numFmtId="181" fontId="8" fillId="0" borderId="25" xfId="0" applyNumberFormat="1" applyFont="1" applyBorder="1" applyAlignment="1">
      <alignment horizontal="center" vertical="center"/>
    </xf>
    <xf numFmtId="181" fontId="8" fillId="0" borderId="35" xfId="0" applyNumberFormat="1" applyFont="1" applyBorder="1" applyAlignment="1">
      <alignment horizontal="center" vertical="center"/>
    </xf>
    <xf numFmtId="183" fontId="12" fillId="0" borderId="25" xfId="0" applyNumberFormat="1" applyFont="1" applyBorder="1" applyAlignment="1">
      <alignment horizontal="center" vertical="center"/>
    </xf>
    <xf numFmtId="183" fontId="12" fillId="0" borderId="35" xfId="0" applyNumberFormat="1" applyFont="1" applyBorder="1" applyAlignment="1">
      <alignment horizontal="center" vertical="center"/>
    </xf>
    <xf numFmtId="178" fontId="12" fillId="0" borderId="25" xfId="0" applyNumberFormat="1" applyFont="1" applyBorder="1" applyAlignment="1">
      <alignment horizontal="center" vertical="center"/>
    </xf>
    <xf numFmtId="178" fontId="12" fillId="0" borderId="35" xfId="0" applyNumberFormat="1" applyFont="1" applyBorder="1" applyAlignment="1">
      <alignment horizontal="center" vertical="center"/>
    </xf>
    <xf numFmtId="10" fontId="8" fillId="0" borderId="31" xfId="0" applyNumberFormat="1" applyFont="1" applyBorder="1" applyAlignment="1">
      <alignment horizontal="center" vertical="center"/>
    </xf>
    <xf numFmtId="10" fontId="8" fillId="0" borderId="32" xfId="0" applyNumberFormat="1" applyFont="1" applyBorder="1" applyAlignment="1">
      <alignment horizontal="center" vertical="center"/>
    </xf>
    <xf numFmtId="181" fontId="13" fillId="0" borderId="31" xfId="0" applyNumberFormat="1" applyFont="1" applyBorder="1" applyAlignment="1">
      <alignment horizontal="center" vertical="center"/>
    </xf>
    <xf numFmtId="181" fontId="13" fillId="0" borderId="32" xfId="0" applyNumberFormat="1" applyFont="1" applyBorder="1" applyAlignment="1">
      <alignment horizontal="center" vertical="center"/>
    </xf>
    <xf numFmtId="177" fontId="8" fillId="0" borderId="31" xfId="0" applyNumberFormat="1" applyFont="1" applyBorder="1" applyAlignment="1">
      <alignment horizontal="center" vertical="center"/>
    </xf>
    <xf numFmtId="177" fontId="8" fillId="0" borderId="32" xfId="0" applyNumberFormat="1" applyFont="1" applyBorder="1" applyAlignment="1">
      <alignment horizontal="center" vertical="center"/>
    </xf>
    <xf numFmtId="187" fontId="8" fillId="0" borderId="33" xfId="0" applyNumberFormat="1" applyFont="1" applyBorder="1" applyAlignment="1">
      <alignment horizontal="center" vertical="center"/>
    </xf>
    <xf numFmtId="187" fontId="8" fillId="0" borderId="34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183" fontId="8" fillId="3" borderId="31" xfId="0" applyNumberFormat="1" applyFont="1" applyFill="1" applyBorder="1" applyAlignment="1">
      <alignment horizontal="center" vertical="center"/>
    </xf>
    <xf numFmtId="183" fontId="8" fillId="3" borderId="32" xfId="0" applyNumberFormat="1" applyFont="1" applyFill="1" applyBorder="1" applyAlignment="1">
      <alignment horizontal="center" vertical="center"/>
    </xf>
    <xf numFmtId="178" fontId="8" fillId="3" borderId="31" xfId="0" applyNumberFormat="1" applyFont="1" applyFill="1" applyBorder="1" applyAlignment="1">
      <alignment horizontal="center" vertical="center"/>
    </xf>
    <xf numFmtId="178" fontId="8" fillId="3" borderId="32" xfId="0" applyNumberFormat="1" applyFont="1" applyFill="1" applyBorder="1" applyAlignment="1">
      <alignment horizontal="center" vertical="center"/>
    </xf>
    <xf numFmtId="177" fontId="8" fillId="3" borderId="31" xfId="0" applyNumberFormat="1" applyFont="1" applyFill="1" applyBorder="1" applyAlignment="1">
      <alignment horizontal="center" vertical="center"/>
    </xf>
    <xf numFmtId="177" fontId="8" fillId="3" borderId="32" xfId="0" applyNumberFormat="1" applyFont="1" applyFill="1" applyBorder="1" applyAlignment="1">
      <alignment horizontal="center" vertical="center"/>
    </xf>
    <xf numFmtId="178" fontId="8" fillId="0" borderId="31" xfId="0" applyNumberFormat="1" applyFont="1" applyBorder="1" applyAlignment="1">
      <alignment horizontal="center" vertical="center"/>
    </xf>
    <xf numFmtId="178" fontId="8" fillId="0" borderId="32" xfId="0" applyNumberFormat="1" applyFont="1" applyBorder="1" applyAlignment="1">
      <alignment horizontal="center" vertical="center"/>
    </xf>
  </cellXfs>
  <cellStyles count="9">
    <cellStyle name="一般" xfId="0" builtinId="0"/>
    <cellStyle name="一般 2" xfId="1" xr:uid="{00000000-0005-0000-0000-000001000000}"/>
    <cellStyle name="一般 2 2" xfId="6" xr:uid="{00000000-0005-0000-0000-000002000000}"/>
    <cellStyle name="一般 2 3" xfId="3" xr:uid="{00000000-0005-0000-0000-000003000000}"/>
    <cellStyle name="一般 3" xfId="4" xr:uid="{00000000-0005-0000-0000-000004000000}"/>
    <cellStyle name="一般 3 2" xfId="7" xr:uid="{00000000-0005-0000-0000-000005000000}"/>
    <cellStyle name="百分比 2" xfId="2" xr:uid="{00000000-0005-0000-0000-000006000000}"/>
    <cellStyle name="百分比 3 2" xfId="5" xr:uid="{00000000-0005-0000-0000-000007000000}"/>
    <cellStyle name="百分比 4" xfId="8" xr:uid="{00000000-0005-0000-0000-000008000000}"/>
  </cellStyles>
  <dxfs count="0"/>
  <tableStyles count="0" defaultTableStyle="TableStyleMedium2" defaultPivotStyle="PivotStyleLight16"/>
  <colors>
    <mruColors>
      <color rgb="FFFFCCFF"/>
      <color rgb="FFCCFFCC"/>
      <color rgb="FFFF66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ustomXml" Target="../ink/ink2.xml"/><Relationship Id="rId7" Type="http://schemas.openxmlformats.org/officeDocument/2006/relationships/image" Target="../media/image4.png"/><Relationship Id="rId2" Type="http://schemas.openxmlformats.org/officeDocument/2006/relationships/image" Target="../media/image10.png"/><Relationship Id="rId1" Type="http://schemas.openxmlformats.org/officeDocument/2006/relationships/customXml" Target="../ink/ink1.xml"/><Relationship Id="rId6" Type="http://schemas.openxmlformats.org/officeDocument/2006/relationships/image" Target="../media/image3.emf"/><Relationship Id="rId5" Type="http://schemas.openxmlformats.org/officeDocument/2006/relationships/image" Target="../media/image2.emf"/><Relationship Id="rId4" Type="http://schemas.openxmlformats.org/officeDocument/2006/relationships/image" Target="../media/image2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381000</xdr:colOff>
      <xdr:row>3</xdr:row>
      <xdr:rowOff>258536</xdr:rowOff>
    </xdr:from>
    <xdr:to>
      <xdr:col>22</xdr:col>
      <xdr:colOff>31405</xdr:colOff>
      <xdr:row>18</xdr:row>
      <xdr:rowOff>233418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7B09546A-763A-4AAE-E082-FBA605783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18321" y="1292679"/>
          <a:ext cx="10536120" cy="52680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2</xdr:col>
      <xdr:colOff>2160</xdr:colOff>
      <xdr:row>3</xdr:row>
      <xdr:rowOff>22320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7" name="墨迹 16">
              <a:extLst>
                <a:ext uri="{FF2B5EF4-FFF2-40B4-BE49-F238E27FC236}">
                  <a16:creationId xmlns:a16="http://schemas.microsoft.com/office/drawing/2014/main" id="{B7F49D83-195F-253C-87D5-ACEF3022CC4F}"/>
                </a:ext>
              </a:extLst>
            </xdr14:cNvPr>
            <xdr14:cNvContentPartPr/>
          </xdr14:nvContentPartPr>
          <xdr14:nvPr macro=""/>
          <xdr14:xfrm>
            <a:off x="5739480" y="792000"/>
            <a:ext cx="2160" cy="22320"/>
          </xdr14:xfrm>
        </xdr:contentPart>
      </mc:Choice>
      <mc:Fallback xmlns="">
        <xdr:pic>
          <xdr:nvPicPr>
            <xdr:cNvPr id="17" name="墨迹 16">
              <a:extLst>
                <a:ext uri="{FF2B5EF4-FFF2-40B4-BE49-F238E27FC236}">
                  <a16:creationId xmlns:a16="http://schemas.microsoft.com/office/drawing/2014/main" id="{B7F49D83-195F-253C-87D5-ACEF3022CC4F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5730480" y="783360"/>
              <a:ext cx="19800" cy="399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3240</xdr:colOff>
      <xdr:row>3</xdr:row>
      <xdr:rowOff>9720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22" name="墨迹 21">
              <a:extLst>
                <a:ext uri="{FF2B5EF4-FFF2-40B4-BE49-F238E27FC236}">
                  <a16:creationId xmlns:a16="http://schemas.microsoft.com/office/drawing/2014/main" id="{56EF9DE6-0185-642C-D6A7-791BBA1E3A24}"/>
                </a:ext>
              </a:extLst>
            </xdr14:cNvPr>
            <xdr14:cNvContentPartPr/>
          </xdr14:nvContentPartPr>
          <xdr14:nvPr macro=""/>
          <xdr14:xfrm>
            <a:off x="4858560" y="784440"/>
            <a:ext cx="3240" cy="9720"/>
          </xdr14:xfrm>
        </xdr:contentPart>
      </mc:Choice>
      <mc:Fallback xmlns="">
        <xdr:pic>
          <xdr:nvPicPr>
            <xdr:cNvPr id="22" name="墨迹 21">
              <a:extLst>
                <a:ext uri="{FF2B5EF4-FFF2-40B4-BE49-F238E27FC236}">
                  <a16:creationId xmlns:a16="http://schemas.microsoft.com/office/drawing/2014/main" id="{56EF9DE6-0185-642C-D6A7-791BBA1E3A24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4849920" y="775800"/>
              <a:ext cx="20880" cy="2736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400049</xdr:colOff>
      <xdr:row>13</xdr:row>
      <xdr:rowOff>205741</xdr:rowOff>
    </xdr:from>
    <xdr:to>
      <xdr:col>15</xdr:col>
      <xdr:colOff>513382</xdr:colOff>
      <xdr:row>15</xdr:row>
      <xdr:rowOff>247651</xdr:rowOff>
    </xdr:to>
    <xdr:grpSp>
      <xdr:nvGrpSpPr>
        <xdr:cNvPr id="8" name="组合 1">
          <a:extLst>
            <a:ext uri="{FF2B5EF4-FFF2-40B4-BE49-F238E27FC236}">
              <a16:creationId xmlns:a16="http://schemas.microsoft.com/office/drawing/2014/main" id="{B7F81F73-BA6C-4DA6-A239-AEC85B15A237}"/>
            </a:ext>
          </a:extLst>
        </xdr:cNvPr>
        <xdr:cNvGrpSpPr/>
      </xdr:nvGrpSpPr>
      <xdr:grpSpPr>
        <a:xfrm>
          <a:off x="8239124" y="3710941"/>
          <a:ext cx="6285533" cy="575310"/>
          <a:chOff x="2549072" y="20437929"/>
          <a:chExt cx="6053365" cy="430892"/>
        </a:xfrm>
      </xdr:grpSpPr>
      <xdr:pic>
        <xdr:nvPicPr>
          <xdr:cNvPr id="9" name="图片 2">
            <a:extLst>
              <a:ext uri="{FF2B5EF4-FFF2-40B4-BE49-F238E27FC236}">
                <a16:creationId xmlns:a16="http://schemas.microsoft.com/office/drawing/2014/main" id="{470B9D81-0419-F162-DED4-41EF157B26C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49072" y="20437929"/>
            <a:ext cx="6053365" cy="25581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图片 3">
            <a:extLst>
              <a:ext uri="{FF2B5EF4-FFF2-40B4-BE49-F238E27FC236}">
                <a16:creationId xmlns:a16="http://schemas.microsoft.com/office/drawing/2014/main" id="{0224E046-BD52-E0E0-F037-B6671424CE3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37214" y="20646571"/>
            <a:ext cx="2355850" cy="222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5</xdr:col>
      <xdr:colOff>85725</xdr:colOff>
      <xdr:row>31</xdr:row>
      <xdr:rowOff>202034</xdr:rowOff>
    </xdr:from>
    <xdr:to>
      <xdr:col>18</xdr:col>
      <xdr:colOff>239493</xdr:colOff>
      <xdr:row>51</xdr:row>
      <xdr:rowOff>127803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FC058464-6E11-703D-38EA-7E568DC47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39000" y="8507834"/>
          <a:ext cx="9069168" cy="4459669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17</xdr:row>
      <xdr:rowOff>38100</xdr:rowOff>
    </xdr:from>
    <xdr:to>
      <xdr:col>17</xdr:col>
      <xdr:colOff>192058</xdr:colOff>
      <xdr:row>31</xdr:row>
      <xdr:rowOff>101451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81BED84F-FE15-1A90-B3B3-85BC24250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15275" y="4610100"/>
          <a:ext cx="7659658" cy="3797151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1</xdr:row>
      <xdr:rowOff>0</xdr:rowOff>
    </xdr:from>
    <xdr:to>
      <xdr:col>15</xdr:col>
      <xdr:colOff>429780</xdr:colOff>
      <xdr:row>13</xdr:row>
      <xdr:rowOff>45655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65859317-20B1-0E14-A5B1-2FEA4B8ED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96225" y="304800"/>
          <a:ext cx="6544830" cy="3246055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04T13:43:33.1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5 62 2018 0 0,'-5'-13'1569'0'0,"10"7"-1152"0"0,-5-1-65 0 0,0-6 353 0 0,0 5-353 0 0,0 7 161 0 0,0-2-193 0 0,0 2 0 0 0,0 0 129 0 0,0-2-65 0 0,0 1-256 0 0,0 1-448 0 0,0-1-1602 0 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04T13:43:39.2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9 4 1089 0 0,'-5'-3'1153'0'0,"2"6"-1377"0"0,3 2 576 0 0,0-4-224 0 0,0 10-288 0 0,3-5-128 0 0</inkml:trace>
</inkml: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32"/>
  <sheetViews>
    <sheetView zoomScale="70" zoomScaleNormal="70" workbookViewId="0">
      <selection activeCell="H30" sqref="H30"/>
    </sheetView>
  </sheetViews>
  <sheetFormatPr defaultRowHeight="16.5" x14ac:dyDescent="0.25"/>
  <cols>
    <col min="1" max="1" width="13.625" customWidth="1"/>
    <col min="2" max="2" width="34.875" customWidth="1"/>
    <col min="3" max="3" width="19.375" customWidth="1"/>
    <col min="4" max="4" width="35.25" customWidth="1"/>
    <col min="5" max="5" width="21.125" customWidth="1"/>
  </cols>
  <sheetData>
    <row r="1" spans="1:5" ht="23.45" customHeight="1" thickTop="1" thickBot="1" x14ac:dyDescent="0.3">
      <c r="A1" s="6"/>
      <c r="B1" s="80" t="s">
        <v>54</v>
      </c>
      <c r="C1" s="80"/>
      <c r="D1" s="80"/>
      <c r="E1" s="80"/>
    </row>
    <row r="2" spans="1:5" ht="29.45" customHeight="1" thickTop="1" thickBot="1" x14ac:dyDescent="0.3">
      <c r="A2" s="6"/>
      <c r="B2" s="1" t="s">
        <v>56</v>
      </c>
      <c r="C2" s="10"/>
      <c r="D2" s="1" t="s">
        <v>63</v>
      </c>
      <c r="E2" s="10"/>
    </row>
    <row r="3" spans="1:5" ht="29.45" customHeight="1" thickTop="1" thickBot="1" x14ac:dyDescent="0.3">
      <c r="A3" s="6"/>
      <c r="B3" s="1" t="s">
        <v>57</v>
      </c>
      <c r="C3" s="10"/>
      <c r="D3" s="1" t="s">
        <v>64</v>
      </c>
      <c r="E3" s="10"/>
    </row>
    <row r="4" spans="1:5" ht="29.45" customHeight="1" thickTop="1" thickBot="1" x14ac:dyDescent="0.3">
      <c r="A4" s="6"/>
      <c r="B4" s="1" t="s">
        <v>58</v>
      </c>
      <c r="C4" s="10"/>
      <c r="D4" s="1" t="s">
        <v>65</v>
      </c>
      <c r="E4" s="2"/>
    </row>
    <row r="5" spans="1:5" ht="29.45" customHeight="1" thickTop="1" thickBot="1" x14ac:dyDescent="0.3">
      <c r="A5" s="6"/>
      <c r="B5" s="1" t="s">
        <v>55</v>
      </c>
      <c r="C5" s="10" t="s">
        <v>18</v>
      </c>
      <c r="D5" s="1" t="s">
        <v>66</v>
      </c>
      <c r="E5" s="3"/>
    </row>
    <row r="6" spans="1:5" ht="29.45" customHeight="1" thickTop="1" thickBot="1" x14ac:dyDescent="0.3">
      <c r="A6" s="6"/>
      <c r="B6" s="1" t="s">
        <v>59</v>
      </c>
      <c r="C6" s="10" t="s">
        <v>13</v>
      </c>
      <c r="D6" s="1" t="s">
        <v>67</v>
      </c>
      <c r="E6" s="11"/>
    </row>
    <row r="7" spans="1:5" ht="29.45" customHeight="1" thickTop="1" thickBot="1" x14ac:dyDescent="0.3">
      <c r="A7" s="6"/>
      <c r="B7" s="1" t="s">
        <v>60</v>
      </c>
      <c r="C7" s="10" t="s">
        <v>20</v>
      </c>
      <c r="D7" s="1" t="s">
        <v>68</v>
      </c>
      <c r="E7" s="10"/>
    </row>
    <row r="8" spans="1:5" ht="29.45" customHeight="1" thickTop="1" thickBot="1" x14ac:dyDescent="0.3">
      <c r="A8" s="6"/>
      <c r="B8" s="13" t="s">
        <v>61</v>
      </c>
      <c r="C8" s="11"/>
      <c r="D8" s="13" t="s">
        <v>69</v>
      </c>
      <c r="E8" s="11"/>
    </row>
    <row r="9" spans="1:5" ht="29.45" customHeight="1" thickTop="1" thickBot="1" x14ac:dyDescent="0.3">
      <c r="A9" s="6"/>
      <c r="B9" s="13" t="s">
        <v>62</v>
      </c>
      <c r="C9" s="11"/>
      <c r="D9" s="13" t="s">
        <v>70</v>
      </c>
      <c r="E9" s="11"/>
    </row>
    <row r="10" spans="1:5" ht="29.45" customHeight="1" thickTop="1" thickBot="1" x14ac:dyDescent="0.3">
      <c r="A10" s="6"/>
      <c r="B10" s="1" t="s">
        <v>21</v>
      </c>
      <c r="C10" s="29" t="s">
        <v>99</v>
      </c>
      <c r="D10" s="1" t="s">
        <v>22</v>
      </c>
      <c r="E10" s="30" t="s">
        <v>100</v>
      </c>
    </row>
    <row r="11" spans="1:5" ht="27" thickTop="1" thickBot="1" x14ac:dyDescent="0.3">
      <c r="A11" s="6"/>
      <c r="B11" s="6"/>
      <c r="C11" s="6"/>
      <c r="D11" s="6"/>
      <c r="E11" s="6"/>
    </row>
    <row r="12" spans="1:5" ht="27" thickTop="1" thickBot="1" x14ac:dyDescent="0.3">
      <c r="A12" s="81" t="s">
        <v>101</v>
      </c>
      <c r="B12" s="82"/>
      <c r="C12" s="82"/>
      <c r="D12" s="82"/>
      <c r="E12" s="83"/>
    </row>
    <row r="13" spans="1:5" ht="27" thickTop="1" thickBot="1" x14ac:dyDescent="0.3">
      <c r="A13" s="84" t="s">
        <v>14</v>
      </c>
      <c r="B13" s="5" t="s">
        <v>92</v>
      </c>
      <c r="C13" s="4">
        <v>440</v>
      </c>
      <c r="D13" s="4" t="s">
        <v>93</v>
      </c>
      <c r="E13" s="4">
        <v>330</v>
      </c>
    </row>
    <row r="14" spans="1:5" ht="27" thickTop="1" thickBot="1" x14ac:dyDescent="0.3">
      <c r="A14" s="84"/>
      <c r="B14" s="5" t="s">
        <v>7</v>
      </c>
      <c r="C14" s="18">
        <v>94.5</v>
      </c>
      <c r="D14" s="4" t="s">
        <v>74</v>
      </c>
      <c r="E14" s="4">
        <v>60</v>
      </c>
    </row>
    <row r="15" spans="1:5" ht="27" thickTop="1" thickBot="1" x14ac:dyDescent="0.3">
      <c r="A15" s="84"/>
      <c r="B15" s="5" t="s">
        <v>76</v>
      </c>
      <c r="C15" s="4">
        <v>8</v>
      </c>
      <c r="D15" s="4" t="s">
        <v>75</v>
      </c>
      <c r="E15" s="17">
        <f>C16*0.746</f>
        <v>211.864</v>
      </c>
    </row>
    <row r="16" spans="1:5" ht="27" thickTop="1" thickBot="1" x14ac:dyDescent="0.3">
      <c r="A16" s="84"/>
      <c r="B16" s="5" t="s">
        <v>5</v>
      </c>
      <c r="C16" s="17">
        <v>284</v>
      </c>
      <c r="D16" s="4" t="s">
        <v>10</v>
      </c>
      <c r="E16" s="17">
        <v>900</v>
      </c>
    </row>
    <row r="17" spans="1:5" ht="27" thickTop="1" thickBot="1" x14ac:dyDescent="0.3">
      <c r="A17" s="84"/>
      <c r="B17" s="25" t="s">
        <v>6</v>
      </c>
      <c r="C17" s="26">
        <v>17</v>
      </c>
      <c r="D17" s="27" t="s">
        <v>9</v>
      </c>
      <c r="E17" s="28">
        <v>51100</v>
      </c>
    </row>
    <row r="18" spans="1:5" ht="27" thickTop="1" thickBot="1" x14ac:dyDescent="0.3">
      <c r="A18" s="84"/>
      <c r="B18" s="5" t="s">
        <v>17</v>
      </c>
      <c r="C18" s="4">
        <v>600</v>
      </c>
      <c r="D18" s="4" t="s">
        <v>16</v>
      </c>
      <c r="E18" s="4">
        <v>600</v>
      </c>
    </row>
    <row r="19" spans="1:5" ht="27" thickTop="1" thickBot="1" x14ac:dyDescent="0.3">
      <c r="A19" s="85"/>
      <c r="B19" s="31" t="s">
        <v>102</v>
      </c>
      <c r="C19" s="19">
        <v>2.48</v>
      </c>
      <c r="D19" s="24"/>
      <c r="E19" s="18"/>
    </row>
    <row r="20" spans="1:5" ht="27" thickTop="1" thickBot="1" x14ac:dyDescent="0.3">
      <c r="A20" s="75" t="s">
        <v>0</v>
      </c>
      <c r="B20" s="8" t="s">
        <v>71</v>
      </c>
      <c r="C20" s="16">
        <v>446.67</v>
      </c>
      <c r="D20" s="8" t="s">
        <v>72</v>
      </c>
      <c r="E20" s="15">
        <v>323.97000000000003</v>
      </c>
    </row>
    <row r="21" spans="1:5" ht="27" thickTop="1" thickBot="1" x14ac:dyDescent="0.3">
      <c r="A21" s="76"/>
      <c r="B21" s="8" t="s">
        <v>73</v>
      </c>
      <c r="C21" s="16">
        <v>0.89600000000000002</v>
      </c>
      <c r="D21" s="8" t="s">
        <v>11</v>
      </c>
      <c r="E21" s="16">
        <f>3^0.5*C20*E20*C21/1000</f>
        <v>224.57438423366341</v>
      </c>
    </row>
    <row r="22" spans="1:5" ht="27" thickTop="1" thickBot="1" x14ac:dyDescent="0.3">
      <c r="A22" s="76"/>
      <c r="B22" s="9" t="s">
        <v>8</v>
      </c>
      <c r="C22" s="12">
        <v>0</v>
      </c>
      <c r="D22" s="8" t="s">
        <v>12</v>
      </c>
      <c r="E22" s="15">
        <v>1.39</v>
      </c>
    </row>
    <row r="23" spans="1:5" ht="27" thickTop="1" thickBot="1" x14ac:dyDescent="0.3">
      <c r="A23" s="76"/>
      <c r="B23" s="32" t="s">
        <v>103</v>
      </c>
      <c r="C23" s="20">
        <v>0</v>
      </c>
      <c r="D23" s="33" t="s">
        <v>104</v>
      </c>
      <c r="E23" s="15">
        <f>C19</f>
        <v>2.48</v>
      </c>
    </row>
    <row r="24" spans="1:5" ht="27" thickTop="1" thickBot="1" x14ac:dyDescent="0.3">
      <c r="A24" s="76"/>
      <c r="B24" s="32" t="s">
        <v>113</v>
      </c>
      <c r="C24" s="20">
        <v>3033</v>
      </c>
      <c r="D24" s="32"/>
      <c r="E24" s="15"/>
    </row>
    <row r="25" spans="1:5" ht="27" thickTop="1" thickBot="1" x14ac:dyDescent="0.3">
      <c r="A25" s="77" t="s">
        <v>15</v>
      </c>
      <c r="B25" s="7" t="s">
        <v>82</v>
      </c>
      <c r="C25" s="14">
        <f>E22-C22</f>
        <v>1.39</v>
      </c>
      <c r="D25" s="7" t="s">
        <v>83</v>
      </c>
      <c r="E25" s="21">
        <f>E23-C23</f>
        <v>2.48</v>
      </c>
    </row>
    <row r="26" spans="1:5" ht="27" thickTop="1" thickBot="1" x14ac:dyDescent="0.3">
      <c r="A26" s="78"/>
      <c r="B26" s="7" t="s">
        <v>78</v>
      </c>
      <c r="C26" s="14"/>
      <c r="D26" s="7" t="s">
        <v>79</v>
      </c>
      <c r="E26" s="21">
        <f>C18</f>
        <v>600</v>
      </c>
    </row>
    <row r="27" spans="1:5" ht="31.5" thickTop="1" thickBot="1" x14ac:dyDescent="0.3">
      <c r="A27" s="78"/>
      <c r="B27" s="7" t="s">
        <v>77</v>
      </c>
      <c r="C27" s="14">
        <f>PI()/4*(E26)^2</f>
        <v>282743.3388230814</v>
      </c>
      <c r="D27" s="72" t="s">
        <v>114</v>
      </c>
      <c r="E27" s="21">
        <f>C27/1000000</f>
        <v>0.28274333882308139</v>
      </c>
    </row>
    <row r="28" spans="1:5" ht="31.5" thickTop="1" thickBot="1" x14ac:dyDescent="0.3">
      <c r="A28" s="78"/>
      <c r="B28" s="7" t="s">
        <v>80</v>
      </c>
      <c r="C28" s="22">
        <f>C24/3600</f>
        <v>0.84250000000000003</v>
      </c>
      <c r="D28" s="7" t="s">
        <v>81</v>
      </c>
      <c r="E28" s="23">
        <f>C28*60</f>
        <v>50.550000000000004</v>
      </c>
    </row>
    <row r="29" spans="1:5" ht="27" thickTop="1" thickBot="1" x14ac:dyDescent="0.3">
      <c r="A29" s="78"/>
      <c r="B29" s="71" t="s">
        <v>94</v>
      </c>
      <c r="C29" s="73">
        <f>C28/E27</f>
        <v>2.979734212331596</v>
      </c>
      <c r="D29" s="71" t="s">
        <v>95</v>
      </c>
      <c r="E29" s="73">
        <f>C29</f>
        <v>2.979734212331596</v>
      </c>
    </row>
    <row r="30" spans="1:5" ht="27" thickTop="1" thickBot="1" x14ac:dyDescent="0.3">
      <c r="A30" s="78"/>
      <c r="B30" s="74" t="s">
        <v>115</v>
      </c>
      <c r="C30" s="73">
        <f>E22*10+E23+C29^2/2/9.81</f>
        <v>16.832539040577949</v>
      </c>
      <c r="D30" s="71"/>
      <c r="E30" s="73"/>
    </row>
    <row r="31" spans="1:5" ht="31.5" thickTop="1" thickBot="1" x14ac:dyDescent="0.3">
      <c r="A31" s="79"/>
      <c r="B31" s="7" t="s">
        <v>19</v>
      </c>
      <c r="C31" s="21">
        <f>E28*1000</f>
        <v>50550.000000000007</v>
      </c>
      <c r="D31" s="72" t="s">
        <v>116</v>
      </c>
      <c r="E31" s="21">
        <f>C24*24</f>
        <v>72792</v>
      </c>
    </row>
    <row r="32" spans="1:5" ht="26.25" thickTop="1" x14ac:dyDescent="0.25">
      <c r="A32" s="6"/>
      <c r="B32" s="6"/>
      <c r="C32" s="6"/>
      <c r="D32" s="6"/>
      <c r="E32" s="6"/>
    </row>
  </sheetData>
  <mergeCells count="5">
    <mergeCell ref="A20:A24"/>
    <mergeCell ref="A25:A31"/>
    <mergeCell ref="B1:E1"/>
    <mergeCell ref="A12:E12"/>
    <mergeCell ref="A13:A19"/>
  </mergeCells>
  <phoneticPr fontId="2" type="noConversion"/>
  <pageMargins left="0.27559055118110237" right="0.23622047244094491" top="0.74803149606299213" bottom="0.74803149606299213" header="0.15748031496062992" footer="0.31496062992125984"/>
  <pageSetup paperSize="9" scale="79" fitToWidth="0" orientation="portrait" r:id="rId1"/>
  <headerFooter>
    <oddHeader xml:space="preserve">&amp;C&amp;"標楷體,粗體"&amp;20空調水側系統現場初勘2
泵浦線上量測 流量、揚程、泵浦能效、管路阻抗曲線-CMVP量測 </oddHeader>
    <oddFooter xml:space="preserve">&amp;R&amp;"標楷體,粗體"&amp;16泵浦媒體圖書館 www.uberty.com.tw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37"/>
  <sheetViews>
    <sheetView tabSelected="1" zoomScaleNormal="100" workbookViewId="0">
      <selection activeCell="S19" sqref="S19"/>
    </sheetView>
  </sheetViews>
  <sheetFormatPr defaultRowHeight="16.5" x14ac:dyDescent="0.25"/>
  <cols>
    <col min="2" max="2" width="44.5" customWidth="1"/>
    <col min="3" max="3" width="18.125" customWidth="1"/>
    <col min="4" max="4" width="13.25" customWidth="1"/>
  </cols>
  <sheetData>
    <row r="1" spans="1:4" ht="24" customHeight="1" thickBot="1" x14ac:dyDescent="0.3">
      <c r="A1" s="113" t="s">
        <v>23</v>
      </c>
      <c r="B1" s="114"/>
      <c r="C1" s="115"/>
      <c r="D1" s="116"/>
    </row>
    <row r="2" spans="1:4" ht="21" customHeight="1" x14ac:dyDescent="0.25">
      <c r="A2" s="107" t="s">
        <v>34</v>
      </c>
      <c r="B2" s="47" t="s">
        <v>2</v>
      </c>
      <c r="C2" s="117" t="s">
        <v>105</v>
      </c>
      <c r="D2" s="118"/>
    </row>
    <row r="3" spans="1:4" ht="21" customHeight="1" x14ac:dyDescent="0.25">
      <c r="A3" s="108"/>
      <c r="B3" s="35" t="s">
        <v>24</v>
      </c>
      <c r="C3" s="119">
        <f>'1.1-基本資料與量測資料'!E16</f>
        <v>900</v>
      </c>
      <c r="D3" s="120"/>
    </row>
    <row r="4" spans="1:4" ht="21" customHeight="1" x14ac:dyDescent="0.25">
      <c r="A4" s="108"/>
      <c r="B4" s="35" t="s">
        <v>35</v>
      </c>
      <c r="C4" s="121">
        <f>'1.1-基本資料與量測資料'!E21</f>
        <v>224.57438423366341</v>
      </c>
      <c r="D4" s="122"/>
    </row>
    <row r="5" spans="1:4" ht="21" customHeight="1" x14ac:dyDescent="0.25">
      <c r="A5" s="108"/>
      <c r="B5" s="35" t="s">
        <v>3</v>
      </c>
      <c r="C5" s="123">
        <f>'1.1-基本資料與量測資料'!C31</f>
        <v>50550.000000000007</v>
      </c>
      <c r="D5" s="124"/>
    </row>
    <row r="6" spans="1:4" ht="21" customHeight="1" x14ac:dyDescent="0.25">
      <c r="A6" s="108"/>
      <c r="B6" s="35" t="s">
        <v>25</v>
      </c>
      <c r="C6" s="123">
        <f>C5/1000/60</f>
        <v>0.84250000000000003</v>
      </c>
      <c r="D6" s="124"/>
    </row>
    <row r="7" spans="1:4" ht="21" customHeight="1" x14ac:dyDescent="0.25">
      <c r="A7" s="108"/>
      <c r="B7" s="35" t="s">
        <v>27</v>
      </c>
      <c r="C7" s="123">
        <f>C5/1000</f>
        <v>50.550000000000004</v>
      </c>
      <c r="D7" s="124"/>
    </row>
    <row r="8" spans="1:4" ht="21" customHeight="1" x14ac:dyDescent="0.25">
      <c r="A8" s="108"/>
      <c r="B8" s="36" t="s">
        <v>26</v>
      </c>
      <c r="C8" s="123">
        <f>C7*60</f>
        <v>3033.0000000000005</v>
      </c>
      <c r="D8" s="124"/>
    </row>
    <row r="9" spans="1:4" ht="21" customHeight="1" x14ac:dyDescent="0.25">
      <c r="A9" s="108"/>
      <c r="B9" s="35" t="s">
        <v>111</v>
      </c>
      <c r="C9" s="88">
        <f>C8*24</f>
        <v>72792.000000000015</v>
      </c>
      <c r="D9" s="89"/>
    </row>
    <row r="10" spans="1:4" ht="21" customHeight="1" x14ac:dyDescent="0.25">
      <c r="A10" s="108"/>
      <c r="B10" s="35" t="s">
        <v>4</v>
      </c>
      <c r="C10" s="123">
        <f>'1.1-基本資料與量測資料'!C30</f>
        <v>16.832539040577949</v>
      </c>
      <c r="D10" s="124"/>
    </row>
    <row r="11" spans="1:4" ht="21" customHeight="1" x14ac:dyDescent="0.25">
      <c r="A11" s="108"/>
      <c r="B11" s="35" t="s">
        <v>1</v>
      </c>
      <c r="C11" s="125">
        <f>1000*9.81*C6*C10/1000</f>
        <v>139.11967272994872</v>
      </c>
      <c r="D11" s="126"/>
    </row>
    <row r="12" spans="1:4" ht="21" customHeight="1" x14ac:dyDescent="0.25">
      <c r="A12" s="108"/>
      <c r="B12" s="37" t="s">
        <v>32</v>
      </c>
      <c r="C12" s="125">
        <f>C4/C11</f>
        <v>1.6142532528062696</v>
      </c>
      <c r="D12" s="126"/>
    </row>
    <row r="13" spans="1:4" ht="21" customHeight="1" x14ac:dyDescent="0.25">
      <c r="A13" s="108"/>
      <c r="B13" s="37" t="s">
        <v>33</v>
      </c>
      <c r="C13" s="96">
        <f>C11/C4</f>
        <v>0.61948148362815303</v>
      </c>
      <c r="D13" s="97"/>
    </row>
    <row r="14" spans="1:4" ht="21" customHeight="1" x14ac:dyDescent="0.25">
      <c r="A14" s="108"/>
      <c r="B14" s="35" t="s">
        <v>28</v>
      </c>
      <c r="C14" s="98">
        <f>C3*C7^0.5/C10^0.75</f>
        <v>770.00025072440621</v>
      </c>
      <c r="D14" s="99"/>
    </row>
    <row r="15" spans="1:4" ht="21" customHeight="1" x14ac:dyDescent="0.25">
      <c r="A15" s="108"/>
      <c r="B15" s="35" t="s">
        <v>84</v>
      </c>
      <c r="C15" s="98" t="str">
        <f>'1.1-基本資料與量測資料'!E10</f>
        <v>開迴路</v>
      </c>
      <c r="D15" s="99"/>
    </row>
    <row r="16" spans="1:4" ht="21" customHeight="1" x14ac:dyDescent="0.25">
      <c r="A16" s="108"/>
      <c r="B16" s="35" t="s">
        <v>52</v>
      </c>
      <c r="C16" s="100">
        <f>'1.1-基本資料與量測資料'!C19</f>
        <v>2.48</v>
      </c>
      <c r="D16" s="101"/>
    </row>
    <row r="17" spans="1:4" ht="21" customHeight="1" thickBot="1" x14ac:dyDescent="0.3">
      <c r="A17" s="109"/>
      <c r="B17" s="38" t="s">
        <v>53</v>
      </c>
      <c r="C17" s="102">
        <f>(C10-C16)/C5^2</f>
        <v>5.6167671109694226E-9</v>
      </c>
      <c r="D17" s="103"/>
    </row>
    <row r="18" spans="1:4" ht="21" customHeight="1" thickBot="1" x14ac:dyDescent="0.3">
      <c r="A18" s="110" t="s">
        <v>107</v>
      </c>
      <c r="B18" s="45" t="s">
        <v>108</v>
      </c>
      <c r="C18" s="46" t="s">
        <v>109</v>
      </c>
      <c r="D18" s="52" t="s">
        <v>110</v>
      </c>
    </row>
    <row r="19" spans="1:4" ht="21" customHeight="1" x14ac:dyDescent="0.25">
      <c r="A19" s="111"/>
      <c r="B19" s="39" t="s">
        <v>29</v>
      </c>
      <c r="C19" s="55">
        <f>C3*C6^0.5/C10^0.75</f>
        <v>99.406604921038678</v>
      </c>
      <c r="D19" s="56">
        <f>C19*3.65</f>
        <v>362.83410796179118</v>
      </c>
    </row>
    <row r="20" spans="1:4" ht="21" customHeight="1" x14ac:dyDescent="0.25">
      <c r="A20" s="111"/>
      <c r="B20" s="36" t="s">
        <v>30</v>
      </c>
      <c r="C20" s="90">
        <f>LN(C8)</f>
        <v>8.0173075076885816</v>
      </c>
      <c r="D20" s="91"/>
    </row>
    <row r="21" spans="1:4" ht="21" customHeight="1" x14ac:dyDescent="0.25">
      <c r="A21" s="111"/>
      <c r="B21" s="36" t="s">
        <v>31</v>
      </c>
      <c r="C21" s="53">
        <f>LN(C19)</f>
        <v>4.5992185593527379</v>
      </c>
      <c r="D21" s="57">
        <f>LN(D19)</f>
        <v>5.8939457269471385</v>
      </c>
    </row>
    <row r="22" spans="1:4" ht="21" customHeight="1" x14ac:dyDescent="0.25">
      <c r="A22" s="111"/>
      <c r="B22" s="40" t="s">
        <v>98</v>
      </c>
      <c r="C22" s="54" t="s">
        <v>106</v>
      </c>
      <c r="D22" s="34" t="s">
        <v>49</v>
      </c>
    </row>
    <row r="23" spans="1:4" ht="21" customHeight="1" x14ac:dyDescent="0.25">
      <c r="A23" s="111"/>
      <c r="B23" s="36" t="s">
        <v>89</v>
      </c>
      <c r="C23" s="58">
        <f>IFERROR(VLOOKUP($C$22,選單!$A$2:$B$10,2,0),"")</f>
        <v>130.38</v>
      </c>
      <c r="D23" s="59">
        <v>150.33000000000001</v>
      </c>
    </row>
    <row r="24" spans="1:4" ht="21" customHeight="1" x14ac:dyDescent="0.25">
      <c r="A24" s="111"/>
      <c r="B24" s="35" t="s">
        <v>112</v>
      </c>
      <c r="C24" s="60">
        <f>(88.59*C21+13.46*C20-11.48*C21^2-0.85*C20^2-0.38*C20*C21-C23)/100</f>
        <v>0.73495947325326971</v>
      </c>
      <c r="D24" s="61">
        <f>(-6.93*D21^2-0.19*C20^2-0.4*D21*C20+72.67*D21+8.73*C20-D23)/100</f>
        <v>0.76121556761770248</v>
      </c>
    </row>
    <row r="25" spans="1:4" ht="21" customHeight="1" x14ac:dyDescent="0.25">
      <c r="A25" s="111"/>
      <c r="B25" s="36" t="s">
        <v>85</v>
      </c>
      <c r="C25" s="62">
        <f>C11/C24</f>
        <v>189.28890339237464</v>
      </c>
      <c r="D25" s="57">
        <f>C11/D24</f>
        <v>182.75988911437682</v>
      </c>
    </row>
    <row r="26" spans="1:4" ht="21" customHeight="1" x14ac:dyDescent="0.25">
      <c r="A26" s="111"/>
      <c r="B26" s="36" t="s">
        <v>88</v>
      </c>
      <c r="C26" s="63">
        <v>0.95</v>
      </c>
      <c r="D26" s="64">
        <v>0.95</v>
      </c>
    </row>
    <row r="27" spans="1:4" ht="21" customHeight="1" x14ac:dyDescent="0.25">
      <c r="A27" s="111"/>
      <c r="B27" s="36" t="s">
        <v>86</v>
      </c>
      <c r="C27" s="63">
        <f>C24*C26</f>
        <v>0.69821149959060624</v>
      </c>
      <c r="D27" s="61">
        <f>D26*D24</f>
        <v>0.72315478923681731</v>
      </c>
    </row>
    <row r="28" spans="1:4" ht="21" customHeight="1" x14ac:dyDescent="0.25">
      <c r="A28" s="111"/>
      <c r="B28" s="36" t="s">
        <v>85</v>
      </c>
      <c r="C28" s="62">
        <f>C11/C24</f>
        <v>189.28890339237464</v>
      </c>
      <c r="D28" s="57">
        <f>D25</f>
        <v>182.75988911437682</v>
      </c>
    </row>
    <row r="29" spans="1:4" ht="21" customHeight="1" x14ac:dyDescent="0.25">
      <c r="A29" s="111"/>
      <c r="B29" s="36" t="s">
        <v>87</v>
      </c>
      <c r="C29" s="62">
        <f>C28/C26</f>
        <v>199.25147725513119</v>
      </c>
      <c r="D29" s="57">
        <f>D28/D26</f>
        <v>192.37883064671246</v>
      </c>
    </row>
    <row r="30" spans="1:4" ht="21" customHeight="1" thickBot="1" x14ac:dyDescent="0.3">
      <c r="A30" s="112"/>
      <c r="B30" s="41" t="s">
        <v>90</v>
      </c>
      <c r="C30" s="65">
        <f>C29/C11</f>
        <v>1.4322307790495379</v>
      </c>
      <c r="D30" s="66">
        <f>D29/C11</f>
        <v>1.3828298102752687</v>
      </c>
    </row>
    <row r="31" spans="1:4" ht="21" customHeight="1" x14ac:dyDescent="0.25">
      <c r="A31" s="104" t="s">
        <v>42</v>
      </c>
      <c r="B31" s="42" t="s">
        <v>41</v>
      </c>
      <c r="C31" s="48">
        <f>(C12-C30)/C12</f>
        <v>0.11275955209648675</v>
      </c>
      <c r="D31" s="67">
        <f>(C12-D30)/C12</f>
        <v>0.14336253752543907</v>
      </c>
    </row>
    <row r="32" spans="1:4" ht="21" customHeight="1" x14ac:dyDescent="0.25">
      <c r="A32" s="105"/>
      <c r="B32" s="36" t="s">
        <v>36</v>
      </c>
      <c r="C32" s="92">
        <v>8800</v>
      </c>
      <c r="D32" s="93"/>
    </row>
    <row r="33" spans="1:4" ht="21" customHeight="1" x14ac:dyDescent="0.25">
      <c r="A33" s="105"/>
      <c r="B33" s="36" t="s">
        <v>37</v>
      </c>
      <c r="C33" s="49">
        <f>C32*(C4-C29)</f>
        <v>222841.58141108352</v>
      </c>
      <c r="D33" s="68">
        <f>(C4-D29)*C32</f>
        <v>283320.87156516837</v>
      </c>
    </row>
    <row r="34" spans="1:4" ht="21" customHeight="1" x14ac:dyDescent="0.25">
      <c r="A34" s="105"/>
      <c r="B34" s="43" t="s">
        <v>91</v>
      </c>
      <c r="C34" s="94">
        <v>0.42399999999999999</v>
      </c>
      <c r="D34" s="95"/>
    </row>
    <row r="35" spans="1:4" ht="21" customHeight="1" x14ac:dyDescent="0.25">
      <c r="A35" s="105"/>
      <c r="B35" s="36" t="s">
        <v>38</v>
      </c>
      <c r="C35" s="50">
        <f>C33*C34/1000</f>
        <v>94.484830518299404</v>
      </c>
      <c r="D35" s="69">
        <f>C34*D33/1000</f>
        <v>120.12804954363139</v>
      </c>
    </row>
    <row r="36" spans="1:4" ht="21" customHeight="1" x14ac:dyDescent="0.25">
      <c r="A36" s="105"/>
      <c r="B36" s="36" t="s">
        <v>39</v>
      </c>
      <c r="C36" s="86">
        <v>3.5</v>
      </c>
      <c r="D36" s="87"/>
    </row>
    <row r="37" spans="1:4" ht="21" customHeight="1" thickBot="1" x14ac:dyDescent="0.3">
      <c r="A37" s="106"/>
      <c r="B37" s="44" t="s">
        <v>40</v>
      </c>
      <c r="C37" s="51">
        <f>C36*C33</f>
        <v>779945.53493879235</v>
      </c>
      <c r="D37" s="70">
        <f>C36*D33</f>
        <v>991623.05047808937</v>
      </c>
    </row>
  </sheetData>
  <mergeCells count="24">
    <mergeCell ref="A31:A37"/>
    <mergeCell ref="A2:A17"/>
    <mergeCell ref="A18:A30"/>
    <mergeCell ref="A1:D1"/>
    <mergeCell ref="C2:D2"/>
    <mergeCell ref="C3:D3"/>
    <mergeCell ref="C4:D4"/>
    <mergeCell ref="C5:D5"/>
    <mergeCell ref="C6:D6"/>
    <mergeCell ref="C7:D7"/>
    <mergeCell ref="C8:D8"/>
    <mergeCell ref="C10:D10"/>
    <mergeCell ref="C11:D11"/>
    <mergeCell ref="C12:D12"/>
    <mergeCell ref="C36:D36"/>
    <mergeCell ref="C9:D9"/>
    <mergeCell ref="C20:D20"/>
    <mergeCell ref="C32:D32"/>
    <mergeCell ref="C34:D34"/>
    <mergeCell ref="C13:D13"/>
    <mergeCell ref="C14:D14"/>
    <mergeCell ref="C15:D15"/>
    <mergeCell ref="C16:D16"/>
    <mergeCell ref="C17:D17"/>
  </mergeCells>
  <phoneticPr fontId="2" type="noConversion"/>
  <pageMargins left="0.59055118110236227" right="0.31496062992125984" top="1.0900000000000001" bottom="0.12" header="0.31496062992125984" footer="0.17"/>
  <pageSetup paperSize="9" fitToWidth="0" orientation="portrait" horizontalDpi="1200" verticalDpi="1200" r:id="rId1"/>
  <headerFooter>
    <oddHeader xml:space="preserve">&amp;C&amp;"標楷體,粗體"&amp;16空調水側系統現場初勘2
泵浦線上量測 流量、揚程、泵浦能效、管路阻抗曲線-CMVP量測 </oddHeader>
    <oddFooter xml:space="preserve">&amp;R&amp;"標楷體,粗體"&amp;14泵浦媒體圖書館 www.uberty.com.tw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選單!$A$2:$A$11</xm:f>
          </x14:formula1>
          <xm:sqref>C22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0"/>
  <sheetViews>
    <sheetView workbookViewId="0">
      <selection activeCell="D24" sqref="D24"/>
    </sheetView>
  </sheetViews>
  <sheetFormatPr defaultRowHeight="16.5" x14ac:dyDescent="0.25"/>
  <cols>
    <col min="1" max="1" width="11.625" bestFit="1" customWidth="1"/>
  </cols>
  <sheetData>
    <row r="1" spans="1:2" x14ac:dyDescent="0.25">
      <c r="A1" t="s">
        <v>96</v>
      </c>
      <c r="B1" t="s">
        <v>97</v>
      </c>
    </row>
    <row r="2" spans="1:2" x14ac:dyDescent="0.25">
      <c r="A2" t="s">
        <v>43</v>
      </c>
      <c r="B2">
        <v>128.07</v>
      </c>
    </row>
    <row r="3" spans="1:2" x14ac:dyDescent="0.25">
      <c r="A3" t="s">
        <v>44</v>
      </c>
      <c r="B3">
        <v>130.27000000000001</v>
      </c>
    </row>
    <row r="4" spans="1:2" x14ac:dyDescent="0.25">
      <c r="A4" t="s">
        <v>45</v>
      </c>
      <c r="B4">
        <v>128.46</v>
      </c>
    </row>
    <row r="5" spans="1:2" x14ac:dyDescent="0.25">
      <c r="A5" t="s">
        <v>46</v>
      </c>
      <c r="B5">
        <v>130.77000000000001</v>
      </c>
    </row>
    <row r="6" spans="1:2" x14ac:dyDescent="0.25">
      <c r="A6" t="s">
        <v>47</v>
      </c>
      <c r="B6">
        <v>132.30000000000001</v>
      </c>
    </row>
    <row r="7" spans="1:2" x14ac:dyDescent="0.25">
      <c r="A7" t="s">
        <v>48</v>
      </c>
      <c r="B7">
        <v>133.69</v>
      </c>
    </row>
    <row r="8" spans="1:2" x14ac:dyDescent="0.25">
      <c r="A8" t="s">
        <v>49</v>
      </c>
      <c r="B8">
        <v>130.38</v>
      </c>
    </row>
    <row r="9" spans="1:2" x14ac:dyDescent="0.25">
      <c r="A9" t="s">
        <v>50</v>
      </c>
      <c r="B9">
        <v>133.94999999999999</v>
      </c>
    </row>
    <row r="10" spans="1:2" x14ac:dyDescent="0.25">
      <c r="A10" t="s">
        <v>51</v>
      </c>
      <c r="B10">
        <v>128.79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具名範圍</vt:lpstr>
      </vt:variant>
      <vt:variant>
        <vt:i4>2</vt:i4>
      </vt:variant>
    </vt:vector>
  </HeadingPairs>
  <TitlesOfParts>
    <vt:vector size="5" baseType="lpstr">
      <vt:lpstr>1.1-基本資料與量測資料</vt:lpstr>
      <vt:lpstr>1.2-系統量測數據計算</vt:lpstr>
      <vt:lpstr>選單</vt:lpstr>
      <vt:lpstr>'1.1-基本資料與量測資料'!Print_Area</vt:lpstr>
      <vt:lpstr>'1.2-系統量測數據計算'!Print_Area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SOHO-</dc:creator>
  <cp:lastModifiedBy>煥然 簡</cp:lastModifiedBy>
  <cp:lastPrinted>2023-12-01T07:15:44Z</cp:lastPrinted>
  <dcterms:created xsi:type="dcterms:W3CDTF">2021-09-06T03:13:59Z</dcterms:created>
  <dcterms:modified xsi:type="dcterms:W3CDTF">2025-05-08T13:02:34Z</dcterms:modified>
</cp:coreProperties>
</file>