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shuyen\Downloads\"/>
    </mc:Choice>
  </mc:AlternateContent>
  <xr:revisionPtr revIDLastSave="0" documentId="13_ncr:1_{B5F87E75-3B01-4650-A296-66E01A381D0C}" xr6:coauthVersionLast="36" xr6:coauthVersionMax="36" xr10:uidLastSave="{00000000-0000-0000-0000-000000000000}"/>
  <bookViews>
    <workbookView xWindow="-105" yWindow="-105" windowWidth="19410" windowHeight="10560" tabRatio="839" firstSheet="1" activeTab="10" xr2:uid="{00000000-000D-0000-FFFF-FFFF00000000}"/>
  </bookViews>
  <sheets>
    <sheet name="1.1-基本資料與量測資料" sheetId="1" r:id="rId1"/>
    <sheet name="1.2-系統量測數據計算" sheetId="2" r:id="rId2"/>
    <sheet name="2-現況修正回溫差5℃" sheetId="3" r:id="rId3"/>
    <sheet name="3-修回溫差5℃+功率100%" sheetId="4" r:id="rId4"/>
    <sheet name="4-更新冰機+泵浦+舊管路" sheetId="5" r:id="rId5"/>
    <sheet name="5-全新系統" sheetId="6" r:id="rId6"/>
    <sheet name="6-IPLV-全新系統" sheetId="7" r:id="rId7"/>
    <sheet name="冰水阻抗曲線圖 (2)" sheetId="15" r:id="rId8"/>
    <sheet name="冰水阻抗曲線圖" sheetId="8" r:id="rId9"/>
    <sheet name="冷卻水阻抗曲線圖(2)" sheetId="16" r:id="rId10"/>
    <sheet name="冷卻水阻抗曲線圖" sheetId="9" r:id="rId11"/>
    <sheet name="冰機測試報告" sheetId="10" r:id="rId12"/>
    <sheet name="冰水泵耗電比測試報告" sheetId="11" r:id="rId13"/>
    <sheet name="冷卻水泵耗電比測試報告" sheetId="12" r:id="rId14"/>
    <sheet name="馬達效率查詢" sheetId="14" r:id="rId15"/>
  </sheets>
  <calcPr calcId="191029"/>
</workbook>
</file>

<file path=xl/calcChain.xml><?xml version="1.0" encoding="utf-8"?>
<calcChain xmlns="http://schemas.openxmlformats.org/spreadsheetml/2006/main">
  <c r="N16" i="9" l="1"/>
  <c r="N13" i="9"/>
  <c r="N10" i="9"/>
  <c r="N7" i="9"/>
  <c r="N16" i="8"/>
  <c r="N13" i="8"/>
  <c r="N10" i="8"/>
  <c r="E19" i="1" l="1"/>
  <c r="C34" i="1" l="1"/>
  <c r="O23" i="7" l="1"/>
  <c r="O18" i="7"/>
  <c r="O13" i="7"/>
  <c r="O8" i="7"/>
  <c r="C9" i="7"/>
  <c r="E3" i="7"/>
  <c r="C3" i="7"/>
  <c r="B23" i="16" l="1"/>
  <c r="B21" i="16"/>
  <c r="B23" i="15"/>
  <c r="B21" i="15"/>
  <c r="B4" i="12" l="1"/>
  <c r="B10" i="12" s="1"/>
  <c r="B2" i="12"/>
  <c r="B4" i="11"/>
  <c r="B10" i="11" s="1"/>
  <c r="B2" i="11"/>
  <c r="F17" i="10"/>
  <c r="E17" i="10"/>
  <c r="D17" i="10"/>
  <c r="C17" i="10"/>
  <c r="F13" i="10"/>
  <c r="E13" i="10"/>
  <c r="D13" i="10"/>
  <c r="C13" i="10"/>
  <c r="F9" i="10"/>
  <c r="N9" i="7" s="1"/>
  <c r="E9" i="10"/>
  <c r="M9" i="7" s="1"/>
  <c r="D9" i="10"/>
  <c r="L9" i="7" s="1"/>
  <c r="C9" i="10"/>
  <c r="K9" i="7" s="1"/>
  <c r="O9" i="7" s="1"/>
  <c r="F7" i="10"/>
  <c r="E7" i="10"/>
  <c r="D7" i="10"/>
  <c r="C7" i="10"/>
  <c r="C50" i="7"/>
  <c r="E49" i="7"/>
  <c r="D49" i="7"/>
  <c r="C38" i="7"/>
  <c r="E37" i="7"/>
  <c r="D37" i="7"/>
  <c r="C26" i="7"/>
  <c r="D25" i="7"/>
  <c r="B19" i="7"/>
  <c r="E12" i="7"/>
  <c r="C12" i="7"/>
  <c r="F9" i="7"/>
  <c r="E9" i="7"/>
  <c r="D6" i="7"/>
  <c r="C32" i="7" s="1"/>
  <c r="O3" i="7"/>
  <c r="G20" i="6"/>
  <c r="F14" i="7" s="1"/>
  <c r="F6" i="6"/>
  <c r="D6" i="6"/>
  <c r="C3" i="6"/>
  <c r="C6" i="7" s="1"/>
  <c r="C25" i="5"/>
  <c r="C24" i="5"/>
  <c r="F10" i="5"/>
  <c r="F9" i="5"/>
  <c r="C4" i="9" s="1"/>
  <c r="E9" i="5"/>
  <c r="D14" i="5" s="1"/>
  <c r="D15" i="5" s="1"/>
  <c r="F6" i="4"/>
  <c r="D6" i="4"/>
  <c r="D3" i="4"/>
  <c r="C3" i="4"/>
  <c r="C13" i="4" s="1"/>
  <c r="D20" i="4" s="1"/>
  <c r="F6" i="3"/>
  <c r="B1" i="16" s="1"/>
  <c r="D6" i="3"/>
  <c r="B1" i="15" s="1"/>
  <c r="D3" i="3"/>
  <c r="C3" i="3"/>
  <c r="G18" i="2"/>
  <c r="F3" i="5" s="1"/>
  <c r="C5" i="9" s="1"/>
  <c r="E18" i="2"/>
  <c r="D3" i="5" s="1"/>
  <c r="F5" i="2"/>
  <c r="D5" i="2"/>
  <c r="E3" i="2"/>
  <c r="D3" i="2"/>
  <c r="E70" i="1"/>
  <c r="E71" i="1" s="1"/>
  <c r="C70" i="1"/>
  <c r="C62" i="1"/>
  <c r="G7" i="2" s="1"/>
  <c r="C61" i="1"/>
  <c r="E61" i="1" s="1"/>
  <c r="E62" i="1" s="1"/>
  <c r="C35" i="1"/>
  <c r="E7" i="2" s="1"/>
  <c r="E34" i="1"/>
  <c r="E35" i="1" s="1"/>
  <c r="E20" i="1"/>
  <c r="G8" i="2" s="1"/>
  <c r="C7" i="9" s="1"/>
  <c r="C20" i="1"/>
  <c r="E8" i="2" s="1"/>
  <c r="C6" i="8" s="1"/>
  <c r="F4" i="4"/>
  <c r="C19" i="1"/>
  <c r="D5" i="3" s="1"/>
  <c r="E10" i="5" l="1"/>
  <c r="F14" i="5"/>
  <c r="F15" i="5" s="1"/>
  <c r="C72" i="1"/>
  <c r="I5" i="2"/>
  <c r="C20" i="6"/>
  <c r="D21" i="6" s="1"/>
  <c r="B5" i="11"/>
  <c r="B6" i="11"/>
  <c r="B7" i="11"/>
  <c r="B8" i="11"/>
  <c r="C20" i="9"/>
  <c r="C19" i="9"/>
  <c r="D4" i="4"/>
  <c r="D4" i="2"/>
  <c r="G21" i="6"/>
  <c r="G4" i="2"/>
  <c r="F5" i="3"/>
  <c r="G22" i="6"/>
  <c r="F8" i="7" s="1"/>
  <c r="D8" i="6"/>
  <c r="B24" i="15"/>
  <c r="E11" i="5"/>
  <c r="B7" i="15"/>
  <c r="B5" i="12"/>
  <c r="F12" i="6"/>
  <c r="B24" i="16"/>
  <c r="F11" i="5"/>
  <c r="B7" i="16"/>
  <c r="C4" i="6"/>
  <c r="B6" i="12"/>
  <c r="C44" i="7"/>
  <c r="E45" i="7" s="1"/>
  <c r="E46" i="7" s="1"/>
  <c r="F15" i="7"/>
  <c r="K24" i="7" s="1"/>
  <c r="C39" i="7"/>
  <c r="F12" i="3"/>
  <c r="B4" i="16" s="1"/>
  <c r="G6" i="2"/>
  <c r="G11" i="2" s="1"/>
  <c r="G16" i="2" s="1"/>
  <c r="C14" i="7"/>
  <c r="C15" i="7" s="1"/>
  <c r="C7" i="7"/>
  <c r="E33" i="7"/>
  <c r="E34" i="7" s="1"/>
  <c r="C33" i="7"/>
  <c r="C34" i="7" s="1"/>
  <c r="B9" i="11"/>
  <c r="D12" i="6"/>
  <c r="C71" i="1"/>
  <c r="C4" i="8"/>
  <c r="C10" i="8" s="1"/>
  <c r="D11" i="6"/>
  <c r="D7" i="6"/>
  <c r="C10" i="7"/>
  <c r="C20" i="7"/>
  <c r="C27" i="7" s="1"/>
  <c r="C15" i="9"/>
  <c r="C4" i="11"/>
  <c r="C10" i="11" s="1"/>
  <c r="B7" i="12"/>
  <c r="E10" i="7"/>
  <c r="C16" i="9"/>
  <c r="B8" i="12"/>
  <c r="C17" i="9"/>
  <c r="B9" i="12"/>
  <c r="C18" i="9"/>
  <c r="D11" i="3"/>
  <c r="B3" i="15" s="1"/>
  <c r="C16" i="3"/>
  <c r="D15" i="2"/>
  <c r="E6" i="2"/>
  <c r="E19" i="2" s="1"/>
  <c r="D12" i="3"/>
  <c r="B4" i="15" s="1"/>
  <c r="C4" i="12"/>
  <c r="F11" i="3"/>
  <c r="F7" i="6"/>
  <c r="F8" i="6"/>
  <c r="F11" i="6"/>
  <c r="B22" i="16" s="1"/>
  <c r="G25" i="6" l="1"/>
  <c r="C9" i="11"/>
  <c r="C11" i="7"/>
  <c r="G9" i="2"/>
  <c r="G14" i="2" s="1"/>
  <c r="H16" i="2"/>
  <c r="G11" i="4" s="1"/>
  <c r="C7" i="11"/>
  <c r="C8" i="11"/>
  <c r="F5" i="7"/>
  <c r="F37" i="7" s="1"/>
  <c r="F38" i="7" s="1"/>
  <c r="F39" i="7" s="1"/>
  <c r="M24" i="7" s="1"/>
  <c r="C45" i="7"/>
  <c r="C46" i="7" s="1"/>
  <c r="E11" i="7"/>
  <c r="F16" i="7" s="1"/>
  <c r="B31" i="15"/>
  <c r="B32" i="15"/>
  <c r="B25" i="15"/>
  <c r="B26" i="15"/>
  <c r="B27" i="15"/>
  <c r="B28" i="15"/>
  <c r="B29" i="15"/>
  <c r="B30" i="15"/>
  <c r="C4" i="3"/>
  <c r="C5" i="4" s="1"/>
  <c r="D24" i="16"/>
  <c r="O23" i="16" s="1"/>
  <c r="J5" i="16"/>
  <c r="F13" i="3"/>
  <c r="B5" i="16" s="1"/>
  <c r="B3" i="16"/>
  <c r="C4" i="7"/>
  <c r="B22" i="15"/>
  <c r="B27" i="16"/>
  <c r="D27" i="16" s="1"/>
  <c r="B32" i="16"/>
  <c r="D32" i="16" s="1"/>
  <c r="B28" i="16"/>
  <c r="D28" i="16" s="1"/>
  <c r="B25" i="16"/>
  <c r="D25" i="16" s="1"/>
  <c r="B30" i="16"/>
  <c r="D30" i="16" s="1"/>
  <c r="B31" i="16"/>
  <c r="D31" i="16" s="1"/>
  <c r="B29" i="16"/>
  <c r="D29" i="16" s="1"/>
  <c r="B26" i="16"/>
  <c r="D26" i="16" s="1"/>
  <c r="C51" i="7"/>
  <c r="D15" i="6"/>
  <c r="D17" i="6" s="1"/>
  <c r="D13" i="6"/>
  <c r="E26" i="6" s="1"/>
  <c r="E2" i="11"/>
  <c r="D4" i="11" s="1"/>
  <c r="E4" i="11" s="1"/>
  <c r="G4" i="11" s="1"/>
  <c r="C6" i="11"/>
  <c r="C5" i="11"/>
  <c r="G19" i="2"/>
  <c r="C1" i="9"/>
  <c r="C21" i="7"/>
  <c r="C22" i="7" s="1"/>
  <c r="E21" i="7"/>
  <c r="E22" i="7" s="1"/>
  <c r="C8" i="12"/>
  <c r="C10" i="12"/>
  <c r="C5" i="12"/>
  <c r="C7" i="12"/>
  <c r="C9" i="12"/>
  <c r="C6" i="12"/>
  <c r="E2" i="12"/>
  <c r="E4" i="7"/>
  <c r="D4" i="5"/>
  <c r="D7" i="4"/>
  <c r="D7" i="3"/>
  <c r="B2" i="15" s="1"/>
  <c r="F8" i="3"/>
  <c r="F11" i="4"/>
  <c r="D13" i="3"/>
  <c r="C2" i="8"/>
  <c r="C8" i="8" s="1"/>
  <c r="F13" i="6"/>
  <c r="F26" i="6" s="1"/>
  <c r="F15" i="6"/>
  <c r="F17" i="6" s="1"/>
  <c r="E9" i="2"/>
  <c r="C1" i="8"/>
  <c r="F11" i="2"/>
  <c r="F16" i="2" s="1"/>
  <c r="E8" i="3" s="1"/>
  <c r="D7" i="11" l="1"/>
  <c r="E7" i="11" s="1"/>
  <c r="G7" i="11" s="1"/>
  <c r="H9" i="2"/>
  <c r="H10" i="2" s="1"/>
  <c r="G13" i="2"/>
  <c r="G10" i="2"/>
  <c r="F10" i="3" s="1"/>
  <c r="G17" i="2"/>
  <c r="F9" i="3"/>
  <c r="G5" i="5"/>
  <c r="G24" i="5" s="1"/>
  <c r="G26" i="5" s="1"/>
  <c r="G8" i="3"/>
  <c r="G16" i="3" s="1"/>
  <c r="F8" i="4"/>
  <c r="B6" i="16" s="1"/>
  <c r="F14" i="2"/>
  <c r="C2" i="9"/>
  <c r="C11" i="9" s="1"/>
  <c r="B8" i="16"/>
  <c r="B10" i="16" s="1"/>
  <c r="F49" i="7"/>
  <c r="F50" i="7" s="1"/>
  <c r="F51" i="7" s="1"/>
  <c r="N24" i="7" s="1"/>
  <c r="F25" i="7"/>
  <c r="D5" i="11"/>
  <c r="E5" i="11" s="1"/>
  <c r="G5" i="11" s="1"/>
  <c r="C47" i="7"/>
  <c r="C48" i="7" s="1"/>
  <c r="D50" i="7" s="1"/>
  <c r="D52" i="7" s="1"/>
  <c r="D10" i="11"/>
  <c r="E10" i="11" s="1"/>
  <c r="G10" i="11" s="1"/>
  <c r="J5" i="15"/>
  <c r="D30" i="15"/>
  <c r="D32" i="15"/>
  <c r="D31" i="15"/>
  <c r="D27" i="15"/>
  <c r="D26" i="15"/>
  <c r="D29" i="15"/>
  <c r="D28" i="15"/>
  <c r="D24" i="15"/>
  <c r="O23" i="15" s="1"/>
  <c r="D25" i="15"/>
  <c r="D8" i="4"/>
  <c r="B5" i="15"/>
  <c r="D5" i="15" s="1"/>
  <c r="M5" i="15"/>
  <c r="D4" i="15"/>
  <c r="O7" i="15" s="1"/>
  <c r="D7" i="15"/>
  <c r="O19" i="15" s="1"/>
  <c r="D9" i="11"/>
  <c r="E9" i="11" s="1"/>
  <c r="G9" i="11" s="1"/>
  <c r="D1" i="16"/>
  <c r="D1" i="15"/>
  <c r="C35" i="7"/>
  <c r="C36" i="7" s="1"/>
  <c r="D41" i="7" s="1"/>
  <c r="C23" i="7"/>
  <c r="C24" i="7" s="1"/>
  <c r="D26" i="7" s="1"/>
  <c r="D27" i="7" s="1"/>
  <c r="L14" i="7" s="1"/>
  <c r="F7" i="4"/>
  <c r="F7" i="3"/>
  <c r="F4" i="5"/>
  <c r="C13" i="7"/>
  <c r="D17" i="7" s="1"/>
  <c r="D18" i="6"/>
  <c r="E20" i="6" s="1"/>
  <c r="E25" i="6" s="1"/>
  <c r="D6" i="11"/>
  <c r="E6" i="11" s="1"/>
  <c r="G6" i="11" s="1"/>
  <c r="C9" i="9"/>
  <c r="C13" i="9" s="1"/>
  <c r="C14" i="9"/>
  <c r="F26" i="7"/>
  <c r="F27" i="7" s="1"/>
  <c r="L24" i="7" s="1"/>
  <c r="D8" i="11"/>
  <c r="E8" i="11" s="1"/>
  <c r="G8" i="11" s="1"/>
  <c r="D9" i="3"/>
  <c r="E10" i="2"/>
  <c r="F13" i="2"/>
  <c r="F17" i="2"/>
  <c r="F18" i="6"/>
  <c r="F20" i="6" s="1"/>
  <c r="F25" i="6" s="1"/>
  <c r="E13" i="7"/>
  <c r="E17" i="7" s="1"/>
  <c r="G25" i="5"/>
  <c r="E23" i="7"/>
  <c r="E24" i="7" s="1"/>
  <c r="E26" i="7" s="1"/>
  <c r="E35" i="7"/>
  <c r="E47" i="7"/>
  <c r="E48" i="7" s="1"/>
  <c r="E53" i="7" s="1"/>
  <c r="D14" i="3"/>
  <c r="D8" i="12"/>
  <c r="E8" i="12" s="1"/>
  <c r="G8" i="12" s="1"/>
  <c r="D10" i="12"/>
  <c r="E10" i="12" s="1"/>
  <c r="G10" i="12" s="1"/>
  <c r="D5" i="12"/>
  <c r="E5" i="12" s="1"/>
  <c r="G5" i="12" s="1"/>
  <c r="D7" i="12"/>
  <c r="E7" i="12" s="1"/>
  <c r="G7" i="12" s="1"/>
  <c r="D9" i="12"/>
  <c r="E9" i="12" s="1"/>
  <c r="G9" i="12" s="1"/>
  <c r="D4" i="12"/>
  <c r="E4" i="12" s="1"/>
  <c r="D6" i="12"/>
  <c r="E6" i="12" s="1"/>
  <c r="G6" i="12" s="1"/>
  <c r="E11" i="4"/>
  <c r="C5" i="8"/>
  <c r="E12" i="5"/>
  <c r="C9" i="8"/>
  <c r="H13" i="2" l="1"/>
  <c r="G18" i="3"/>
  <c r="B15" i="16"/>
  <c r="B9" i="16"/>
  <c r="B14" i="16"/>
  <c r="B16" i="16"/>
  <c r="B13" i="16"/>
  <c r="B12" i="16"/>
  <c r="B11" i="16"/>
  <c r="O24" i="7"/>
  <c r="D53" i="7"/>
  <c r="E29" i="7"/>
  <c r="D51" i="7"/>
  <c r="N14" i="7" s="1"/>
  <c r="E36" i="7"/>
  <c r="E41" i="7" s="1"/>
  <c r="D29" i="7"/>
  <c r="E50" i="7"/>
  <c r="G50" i="7" s="1"/>
  <c r="D38" i="7"/>
  <c r="D40" i="7" s="1"/>
  <c r="O6" i="15"/>
  <c r="O10" i="15"/>
  <c r="O11" i="15"/>
  <c r="O6" i="16"/>
  <c r="O10" i="16"/>
  <c r="C3" i="8"/>
  <c r="B6" i="15"/>
  <c r="D6" i="15" s="1"/>
  <c r="O15" i="15" s="1"/>
  <c r="F14" i="3"/>
  <c r="F15" i="3" s="1"/>
  <c r="B2" i="16"/>
  <c r="D14" i="7"/>
  <c r="E21" i="6"/>
  <c r="E22" i="6"/>
  <c r="D8" i="7" s="1"/>
  <c r="C6" i="9"/>
  <c r="F12" i="5"/>
  <c r="D28" i="7"/>
  <c r="E14" i="7"/>
  <c r="F22" i="6"/>
  <c r="F21" i="6"/>
  <c r="H20" i="6"/>
  <c r="E15" i="3"/>
  <c r="E16" i="3" s="1"/>
  <c r="E18" i="3" s="1"/>
  <c r="D9" i="4"/>
  <c r="E16" i="5"/>
  <c r="E27" i="5" s="1"/>
  <c r="E18" i="5"/>
  <c r="E20" i="5" s="1"/>
  <c r="E23" i="5" s="1"/>
  <c r="E27" i="7"/>
  <c r="L19" i="7" s="1"/>
  <c r="E28" i="7"/>
  <c r="G26" i="7"/>
  <c r="G27" i="7" s="1"/>
  <c r="L4" i="7" s="1"/>
  <c r="E15" i="2"/>
  <c r="D4" i="3" s="1"/>
  <c r="D10" i="3"/>
  <c r="H12" i="2"/>
  <c r="G12" i="2"/>
  <c r="E12" i="2"/>
  <c r="F12" i="2"/>
  <c r="D9" i="8"/>
  <c r="D10" i="8"/>
  <c r="D8" i="8"/>
  <c r="N7" i="8" s="1"/>
  <c r="D16" i="16" l="1"/>
  <c r="H21" i="6"/>
  <c r="F9" i="4"/>
  <c r="D10" i="9"/>
  <c r="D14" i="9"/>
  <c r="D18" i="9"/>
  <c r="D11" i="9"/>
  <c r="D15" i="9"/>
  <c r="D19" i="9"/>
  <c r="D16" i="9"/>
  <c r="D20" i="9"/>
  <c r="D13" i="9"/>
  <c r="D17" i="9"/>
  <c r="D9" i="9"/>
  <c r="D10" i="16"/>
  <c r="E38" i="7"/>
  <c r="E39" i="7" s="1"/>
  <c r="M19" i="7" s="1"/>
  <c r="F16" i="3"/>
  <c r="F18" i="3" s="1"/>
  <c r="F19" i="3"/>
  <c r="D15" i="16"/>
  <c r="D12" i="16"/>
  <c r="D9" i="16"/>
  <c r="E24" i="5"/>
  <c r="E26" i="5" s="1"/>
  <c r="D13" i="16"/>
  <c r="E19" i="3"/>
  <c r="B8" i="15"/>
  <c r="B16" i="15" s="1"/>
  <c r="D16" i="15" s="1"/>
  <c r="E52" i="7"/>
  <c r="E51" i="7"/>
  <c r="D39" i="7"/>
  <c r="M14" i="7" s="1"/>
  <c r="M5" i="16"/>
  <c r="D7" i="16"/>
  <c r="O19" i="16" s="1"/>
  <c r="D6" i="16"/>
  <c r="O15" i="16" s="1"/>
  <c r="D4" i="16"/>
  <c r="O7" i="16" s="1"/>
  <c r="D8" i="16"/>
  <c r="D5" i="16"/>
  <c r="O11" i="16" s="1"/>
  <c r="D11" i="16"/>
  <c r="D14" i="16"/>
  <c r="D5" i="4"/>
  <c r="D2" i="16"/>
  <c r="D2" i="15"/>
  <c r="C11" i="8"/>
  <c r="D11" i="8" s="1"/>
  <c r="A1" i="8"/>
  <c r="F18" i="5"/>
  <c r="F20" i="5" s="1"/>
  <c r="F23" i="5" s="1"/>
  <c r="F16" i="5"/>
  <c r="F27" i="5" s="1"/>
  <c r="D15" i="7"/>
  <c r="K14" i="7" s="1"/>
  <c r="D16" i="7"/>
  <c r="D17" i="3"/>
  <c r="G17" i="3"/>
  <c r="E17" i="3"/>
  <c r="E8" i="7"/>
  <c r="F4" i="12"/>
  <c r="G4" i="12" s="1"/>
  <c r="E21" i="5"/>
  <c r="I12" i="2"/>
  <c r="D10" i="4"/>
  <c r="D14" i="4" s="1"/>
  <c r="E15" i="7"/>
  <c r="K19" i="7" s="1"/>
  <c r="E16" i="7"/>
  <c r="G14" i="7"/>
  <c r="G15" i="7" s="1"/>
  <c r="K4" i="7" s="1"/>
  <c r="F17" i="3" l="1"/>
  <c r="H17" i="3" s="1"/>
  <c r="H16" i="3"/>
  <c r="E40" i="7"/>
  <c r="G38" i="7"/>
  <c r="E25" i="5"/>
  <c r="O14" i="7"/>
  <c r="G39" i="7"/>
  <c r="M4" i="7" s="1"/>
  <c r="G51" i="7"/>
  <c r="N4" i="7" s="1"/>
  <c r="N19" i="7"/>
  <c r="O19" i="7" s="1"/>
  <c r="B11" i="15"/>
  <c r="D11" i="15" s="1"/>
  <c r="B12" i="15"/>
  <c r="D12" i="15" s="1"/>
  <c r="B13" i="15"/>
  <c r="D13" i="15" s="1"/>
  <c r="B9" i="15"/>
  <c r="D9" i="15" s="1"/>
  <c r="D8" i="15"/>
  <c r="B14" i="15"/>
  <c r="D14" i="15" s="1"/>
  <c r="B15" i="15"/>
  <c r="D15" i="15" s="1"/>
  <c r="B10" i="15"/>
  <c r="D10" i="15" s="1"/>
  <c r="F24" i="5"/>
  <c r="C18" i="8"/>
  <c r="D18" i="8" s="1"/>
  <c r="C16" i="8"/>
  <c r="D16" i="8" s="1"/>
  <c r="C15" i="8"/>
  <c r="D15" i="8" s="1"/>
  <c r="C12" i="8"/>
  <c r="D12" i="8" s="1"/>
  <c r="C17" i="8"/>
  <c r="D17" i="8" s="1"/>
  <c r="C14" i="8"/>
  <c r="D14" i="8" s="1"/>
  <c r="C19" i="8"/>
  <c r="D19" i="8" s="1"/>
  <c r="C13" i="8"/>
  <c r="D13" i="8" s="1"/>
  <c r="F21" i="5"/>
  <c r="F15" i="4"/>
  <c r="D21" i="4"/>
  <c r="D15" i="4"/>
  <c r="H24" i="5" l="1"/>
  <c r="F26" i="5"/>
  <c r="O4" i="7"/>
  <c r="F25" i="5"/>
  <c r="H25" i="5" s="1"/>
  <c r="D18" i="4"/>
  <c r="E16" i="4"/>
  <c r="E17" i="4" s="1"/>
  <c r="E20" i="4" s="1"/>
  <c r="F18" i="4"/>
  <c r="C3" i="9"/>
  <c r="F16" i="4"/>
  <c r="F17" i="4" s="1"/>
  <c r="F20" i="4" s="1"/>
  <c r="F21" i="4" s="1"/>
  <c r="G20" i="4"/>
  <c r="G21" i="4" s="1"/>
  <c r="F23" i="4" l="1"/>
  <c r="E23" i="4"/>
  <c r="C12" i="9"/>
  <c r="D12" i="9" s="1"/>
  <c r="A1" i="9"/>
  <c r="F22" i="4"/>
  <c r="F19" i="4"/>
  <c r="G22" i="4"/>
  <c r="E22" i="4"/>
  <c r="D19" i="4"/>
  <c r="E21" i="4"/>
  <c r="H21" i="4" s="1"/>
  <c r="H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9" authorId="0" shapeId="0" xr:uid="{00000000-0006-0000-0100-000001000000}">
      <text>
        <r>
          <rPr>
            <sz val="12"/>
            <rFont val="PMingLiu"/>
            <family val="1"/>
            <charset val="136"/>
          </rPr>
          <t>killian:
算搬運效率用
冰機熱負載kW+冰機耗電kW+冷卻水泵耗電kW</t>
        </r>
      </text>
    </comment>
  </commentList>
</comments>
</file>

<file path=xl/sharedStrings.xml><?xml version="1.0" encoding="utf-8"?>
<sst xmlns="http://schemas.openxmlformats.org/spreadsheetml/2006/main" count="1063" uniqueCount="275">
  <si>
    <t>量測點資料</t>
  </si>
  <si>
    <t>執行量測公司</t>
  </si>
  <si>
    <t>殷聖節能泵浦</t>
  </si>
  <si>
    <t>執行者姓名</t>
  </si>
  <si>
    <t>陳建龍</t>
  </si>
  <si>
    <t>量測日期</t>
  </si>
  <si>
    <t>2021.08.17</t>
  </si>
  <si>
    <t>執行者電話</t>
  </si>
  <si>
    <t>08-7523006</t>
  </si>
  <si>
    <t>公司名稱</t>
  </si>
  <si>
    <t>台灣XX電池</t>
  </si>
  <si>
    <t>室外環境溫度℃</t>
  </si>
  <si>
    <t>量測地點</t>
  </si>
  <si>
    <t>台南市永康區</t>
  </si>
  <si>
    <t>室外濕球溫度℃</t>
  </si>
  <si>
    <t>28@64%</t>
  </si>
  <si>
    <t>聯絡人姓名</t>
  </si>
  <si>
    <t>XXX</t>
  </si>
  <si>
    <t>冰水機用途</t>
  </si>
  <si>
    <t>製程用</t>
  </si>
  <si>
    <t>聯絡人電話</t>
  </si>
  <si>
    <t>06-XXXXXXX</t>
  </si>
  <si>
    <t>冰水機型式</t>
  </si>
  <si>
    <t>螺旋式</t>
  </si>
  <si>
    <t>冰水機數據</t>
  </si>
  <si>
    <t>額定值</t>
  </si>
  <si>
    <t>壓縮機型式</t>
  </si>
  <si>
    <t>容積式螺旋機</t>
  </si>
  <si>
    <t>壓縮機並聯數(台)</t>
  </si>
  <si>
    <t>額定冷凍容量RT</t>
  </si>
  <si>
    <t>運轉負載%</t>
  </si>
  <si>
    <t>額定耗電量kW</t>
  </si>
  <si>
    <t>蒸發器出水溫度℃</t>
  </si>
  <si>
    <t>冷凝器出水溫度℃</t>
  </si>
  <si>
    <t>蒸發器回水溫度℃</t>
  </si>
  <si>
    <t>冷凝器回水溫度℃</t>
  </si>
  <si>
    <t>蒸發器溫差℃</t>
  </si>
  <si>
    <t>冷凝器溫差℃</t>
  </si>
  <si>
    <t>量測值</t>
  </si>
  <si>
    <t>運轉耗電量kW</t>
  </si>
  <si>
    <t>運轉容量RT</t>
  </si>
  <si>
    <t>蒸發器入口水溫℃</t>
  </si>
  <si>
    <t>冷凝器出口水溫℃</t>
  </si>
  <si>
    <t>蒸發器出口水溫℃</t>
  </si>
  <si>
    <t>冷凝器入口水溫℃</t>
  </si>
  <si>
    <t>計算值</t>
  </si>
  <si>
    <t>蒸發器出入口溫差℃</t>
  </si>
  <si>
    <t>冷凝器出入口溫差℃</t>
  </si>
  <si>
    <t>冰水泵數據(一次泵)</t>
  </si>
  <si>
    <t>膨脹水箱位高m</t>
  </si>
  <si>
    <t>額定揚程m</t>
  </si>
  <si>
    <t>額定流量Lpm</t>
  </si>
  <si>
    <t>額定馬力hp</t>
  </si>
  <si>
    <t>額定轉速rpm</t>
  </si>
  <si>
    <t>入口徑mm</t>
  </si>
  <si>
    <t>出口徑mm</t>
  </si>
  <si>
    <t>馬達效率%</t>
  </si>
  <si>
    <t>閉迴路靜位差m</t>
  </si>
  <si>
    <t>泵入口壓力bar</t>
  </si>
  <si>
    <t>泵出口壓力bar</t>
  </si>
  <si>
    <t>入口壓力錶離地板高m</t>
  </si>
  <si>
    <t>出口壓力錶離地板高m</t>
  </si>
  <si>
    <t>管圓周長mm</t>
  </si>
  <si>
    <t>管外徑mm</t>
  </si>
  <si>
    <t>管壁厚</t>
  </si>
  <si>
    <t>管截面積mm2</t>
  </si>
  <si>
    <t>流速m/s</t>
  </si>
  <si>
    <t>泵浦揚程m</t>
  </si>
  <si>
    <t>流量Lpm</t>
  </si>
  <si>
    <t>冰水泵數據(二次泵)</t>
  </si>
  <si>
    <t>泵入口與冷卻塔盛水盤液面位差m</t>
  </si>
  <si>
    <t>冷卻塔數據</t>
  </si>
  <si>
    <t>灑水盤與盛水盤位差m</t>
  </si>
  <si>
    <t>盛水盤與冷卻泵位差m</t>
  </si>
  <si>
    <t>濕球溫度℃</t>
  </si>
  <si>
    <t>相對濕度%</t>
  </si>
  <si>
    <t>乾球溫度℃</t>
  </si>
  <si>
    <t>運轉耗電功kW</t>
  </si>
  <si>
    <t>入水溫度℃</t>
  </si>
  <si>
    <t>出水溫度℃</t>
  </si>
  <si>
    <t>冷卻塔入出口溫差℃</t>
  </si>
  <si>
    <t>趨近溫度℃</t>
  </si>
  <si>
    <t>近似效率%</t>
  </si>
  <si>
    <t>冰水機</t>
  </si>
  <si>
    <t>狀態</t>
  </si>
  <si>
    <t>設備</t>
  </si>
  <si>
    <t>耗電功kW</t>
  </si>
  <si>
    <t>冷凍噸RT</t>
  </si>
  <si>
    <t>一次泵hp</t>
  </si>
  <si>
    <t>冷卻泵hp</t>
  </si>
  <si>
    <t>冷卻塔hp</t>
  </si>
  <si>
    <t>總耗電kW</t>
  </si>
  <si>
    <t>額定值(kW、RT、hp)</t>
  </si>
  <si>
    <t xml:space="preserve">       </t>
  </si>
  <si>
    <t>額定溫差℃</t>
  </si>
  <si>
    <t>耗電 kW</t>
  </si>
  <si>
    <t>流量 Lpm</t>
  </si>
  <si>
    <t>揚程 m</t>
  </si>
  <si>
    <t xml:space="preserve">量測溫差 </t>
  </si>
  <si>
    <t>熱負載 kW</t>
  </si>
  <si>
    <t>熱負載 RT</t>
  </si>
  <si>
    <t>流功 kW</t>
  </si>
  <si>
    <t>系統能效 kW/RT</t>
  </si>
  <si>
    <t>指標
計算</t>
  </si>
  <si>
    <t>耗電搬運效率(kW/kW)</t>
  </si>
  <si>
    <t>負載比%</t>
  </si>
  <si>
    <t>系統
特性</t>
  </si>
  <si>
    <t>流功搬運效率(kW/kW)</t>
  </si>
  <si>
    <r>
      <rPr>
        <b/>
        <sz val="14"/>
        <rFont val="DFKai-SB"/>
        <family val="4"/>
        <charset val="136"/>
      </rPr>
      <t>靜位差 m, C</t>
    </r>
    <r>
      <rPr>
        <b/>
        <vertAlign val="subscript"/>
        <sz val="14"/>
        <rFont val="標楷體"/>
        <family val="4"/>
        <charset val="136"/>
      </rPr>
      <t>0</t>
    </r>
  </si>
  <si>
    <r>
      <rPr>
        <b/>
        <sz val="14"/>
        <rFont val="DFKai-SB"/>
        <family val="4"/>
        <charset val="136"/>
      </rPr>
      <t>管路阻抗係數C</t>
    </r>
    <r>
      <rPr>
        <b/>
        <vertAlign val="subscript"/>
        <sz val="14"/>
        <rFont val="標楷體"/>
        <family val="4"/>
        <charset val="136"/>
      </rPr>
      <t>1</t>
    </r>
  </si>
  <si>
    <t>Ashrae90.1(系統熱負載)</t>
  </si>
  <si>
    <t>≦0.0582</t>
  </si>
  <si>
    <t>Ashrae90.1(冷媒熱負載)</t>
  </si>
  <si>
    <t>≦0.0465</t>
  </si>
  <si>
    <t>量測、
計算、
指標
及特性</t>
  </si>
  <si>
    <t>負載比</t>
  </si>
  <si>
    <r>
      <rPr>
        <sz val="14"/>
        <rFont val="DFKai-SB"/>
        <family val="4"/>
        <charset val="136"/>
      </rPr>
      <t>管路阻抗係數C</t>
    </r>
    <r>
      <rPr>
        <vertAlign val="subscript"/>
        <sz val="14"/>
        <rFont val="標楷體"/>
        <family val="4"/>
        <charset val="136"/>
      </rPr>
      <t>1</t>
    </r>
  </si>
  <si>
    <t>耗電比</t>
  </si>
  <si>
    <t>量測溫差 ℃</t>
  </si>
  <si>
    <t>量測流量Lpm</t>
  </si>
  <si>
    <t>推估
溫差
5℃值</t>
  </si>
  <si>
    <t>流量 Lpm@溫差5℃</t>
  </si>
  <si>
    <r>
      <rPr>
        <sz val="14"/>
        <rFont val="DFKai-SB"/>
        <family val="4"/>
        <charset val="136"/>
      </rPr>
      <t>揚程 m = C × Q</t>
    </r>
    <r>
      <rPr>
        <vertAlign val="superscript"/>
        <sz val="14"/>
        <rFont val="標楷體"/>
        <family val="4"/>
        <charset val="136"/>
      </rPr>
      <t>2</t>
    </r>
  </si>
  <si>
    <t>泵浦流功 kW</t>
  </si>
  <si>
    <t xml:space="preserve">耗電 kW </t>
  </si>
  <si>
    <t>冰水泵hp</t>
  </si>
  <si>
    <t>溫差
5℃
數值
指標
特性</t>
  </si>
  <si>
    <t>額定kW，額定RT</t>
  </si>
  <si>
    <t>標準溫差℃</t>
  </si>
  <si>
    <t>流量 Lpm@溫差5℃@104.2%</t>
  </si>
  <si>
    <t>揚程 m @溫差5℃@104.2%</t>
  </si>
  <si>
    <t>冰機能效 kW/RT</t>
  </si>
  <si>
    <t>泵浦耗電比</t>
  </si>
  <si>
    <t>溫差
5℃
負載
100%</t>
  </si>
  <si>
    <t>冰機耗電 kW @100%</t>
  </si>
  <si>
    <t>熱負載RT</t>
  </si>
  <si>
    <t>流量 Lpm@溫差5℃@100%</t>
  </si>
  <si>
    <t>揚程 m @溫差5℃@100%</t>
  </si>
  <si>
    <t>泵浦流功kW</t>
  </si>
  <si>
    <t>熱負載kW</t>
  </si>
  <si>
    <t>新冰水機+新泵浦，舊管路，舊冷卻塔</t>
  </si>
  <si>
    <t>耗電功</t>
  </si>
  <si>
    <t>冰水泵</t>
  </si>
  <si>
    <t>冷卻泵</t>
  </si>
  <si>
    <t>冷卻塔</t>
  </si>
  <si>
    <t>總耗電</t>
  </si>
  <si>
    <t>冷卻塔耗電比(kW/Lpm)</t>
  </si>
  <si>
    <t>更新
冰機
泵浦
5℃
負載
100%</t>
  </si>
  <si>
    <t>離心機，額定kW，額定RT</t>
  </si>
  <si>
    <t>流量 m3/s@溫差5℃@100%</t>
  </si>
  <si>
    <t>流量 m3/h@溫差5℃@100%</t>
  </si>
  <si>
    <t>轉速rpm</t>
  </si>
  <si>
    <t>比速率Ns,cms</t>
  </si>
  <si>
    <t>直結式C</t>
  </si>
  <si>
    <t>歐盟泵浦能效mei=0.4</t>
  </si>
  <si>
    <t>泵浦輸入軸功kW</t>
  </si>
  <si>
    <t>馬達能效IE3</t>
  </si>
  <si>
    <t>馬達負載</t>
  </si>
  <si>
    <t>一次泵</t>
  </si>
  <si>
    <t>額定
規格</t>
  </si>
  <si>
    <t>能效 kW/RT</t>
  </si>
  <si>
    <t>流量 m3/s</t>
  </si>
  <si>
    <t>流量 m3/h</t>
  </si>
  <si>
    <t>管路揚程m</t>
  </si>
  <si>
    <t>靜位差 m, C0</t>
  </si>
  <si>
    <t>管路阻抗係數C1</t>
  </si>
  <si>
    <t>泵浦轉速rpm</t>
  </si>
  <si>
    <t>比速率Ns，cmm</t>
  </si>
  <si>
    <t>馬達耗電 kW</t>
  </si>
  <si>
    <t>耗電比(kW/kW或 kW/Lpm)</t>
  </si>
  <si>
    <t>負載%</t>
  </si>
  <si>
    <t>IPLV</t>
  </si>
  <si>
    <t>時間係數</t>
  </si>
  <si>
    <t>負載</t>
  </si>
  <si>
    <t xml:space="preserve">     </t>
  </si>
  <si>
    <t>溫差℃</t>
  </si>
  <si>
    <t>熱負載 kW@Δt 5℃</t>
  </si>
  <si>
    <t xml:space="preserve"> 揚程m</t>
  </si>
  <si>
    <t>耗電搬運效率</t>
  </si>
  <si>
    <t>流功搬運效率</t>
  </si>
  <si>
    <t>△</t>
  </si>
  <si>
    <t>量測值@5℃</t>
  </si>
  <si>
    <t>回推100% @5℃</t>
  </si>
  <si>
    <t>建議更新 100% @5℃</t>
  </si>
  <si>
    <t>C1=</t>
  </si>
  <si>
    <t>Δt</t>
  </si>
  <si>
    <t>冰水阻抗曲線</t>
  </si>
  <si>
    <t>揚程 H</t>
  </si>
  <si>
    <t>回推100%值</t>
  </si>
  <si>
    <t>C0=</t>
  </si>
  <si>
    <t>冷卻水泵循環阻抗曲線-1</t>
  </si>
  <si>
    <t>冰機測試報告(假設值)</t>
  </si>
  <si>
    <t>型式</t>
  </si>
  <si>
    <t>離心機</t>
  </si>
  <si>
    <t>冷凍頓RT</t>
  </si>
  <si>
    <t>冰機</t>
  </si>
  <si>
    <t>負載率%</t>
  </si>
  <si>
    <t>冷凍頓kW</t>
  </si>
  <si>
    <t>能效kW/RT</t>
  </si>
  <si>
    <t>蒸發器</t>
  </si>
  <si>
    <t>冰水流量Lpm</t>
  </si>
  <si>
    <t>進水溫度℃</t>
  </si>
  <si>
    <t>冷凝器</t>
  </si>
  <si>
    <t>冷卻水流量Lpm</t>
  </si>
  <si>
    <t>冰水泵耗電比測試報告(假設值)</t>
  </si>
  <si>
    <r>
      <rPr>
        <sz val="12"/>
        <rFont val="DFKai-SB"/>
        <family val="4"/>
        <charset val="136"/>
      </rPr>
      <t>C</t>
    </r>
    <r>
      <rPr>
        <sz val="9"/>
        <rFont val="標楷體"/>
        <family val="4"/>
        <charset val="136"/>
      </rPr>
      <t>0</t>
    </r>
  </si>
  <si>
    <t>C1</t>
  </si>
  <si>
    <t>流量比%</t>
  </si>
  <si>
    <t>揚程m</t>
  </si>
  <si>
    <t>流功kW</t>
  </si>
  <si>
    <t>冷卻水泵耗電比測試報告(假設值)</t>
  </si>
  <si>
    <r>
      <rPr>
        <sz val="12"/>
        <rFont val="DFKai-SB"/>
        <family val="4"/>
        <charset val="136"/>
      </rPr>
      <t>C</t>
    </r>
    <r>
      <rPr>
        <sz val="9"/>
        <rFont val="標楷體"/>
        <family val="4"/>
        <charset val="136"/>
      </rPr>
      <t>0</t>
    </r>
  </si>
  <si>
    <t>入口徑mm</t>
    <phoneticPr fontId="21" type="noConversion"/>
  </si>
  <si>
    <t>冷卻泵數據</t>
    <phoneticPr fontId="21" type="noConversion"/>
  </si>
  <si>
    <r>
      <t>管截面積m</t>
    </r>
    <r>
      <rPr>
        <vertAlign val="superscript"/>
        <sz val="18"/>
        <rFont val="DFKai-SB"/>
        <family val="4"/>
        <charset val="136"/>
      </rPr>
      <t>2</t>
    </r>
    <phoneticPr fontId="21" type="noConversion"/>
  </si>
  <si>
    <r>
      <t>流量m</t>
    </r>
    <r>
      <rPr>
        <vertAlign val="superscript"/>
        <sz val="18"/>
        <rFont val="DFKai-SB"/>
        <family val="4"/>
        <charset val="136"/>
      </rPr>
      <t>3</t>
    </r>
    <r>
      <rPr>
        <sz val="18"/>
        <rFont val="DFKai-SB"/>
        <family val="4"/>
        <charset val="136"/>
      </rPr>
      <t>/s</t>
    </r>
    <phoneticPr fontId="21" type="noConversion"/>
  </si>
  <si>
    <t>耗電比
(耗電功/流功、耗電功/流量)</t>
    <phoneticPr fontId="21" type="noConversion"/>
  </si>
  <si>
    <r>
      <t>靜位差 m, C</t>
    </r>
    <r>
      <rPr>
        <vertAlign val="subscript"/>
        <sz val="14"/>
        <rFont val="標楷體"/>
        <family val="4"/>
        <charset val="136"/>
      </rPr>
      <t>0</t>
    </r>
  </si>
  <si>
    <r>
      <t>靜位差 m, C</t>
    </r>
    <r>
      <rPr>
        <vertAlign val="subscript"/>
        <sz val="14"/>
        <rFont val="標楷體"/>
        <family val="4"/>
        <charset val="136"/>
      </rPr>
      <t>0</t>
    </r>
    <phoneticPr fontId="21" type="noConversion"/>
  </si>
  <si>
    <r>
      <t>冰水機調整回5</t>
    </r>
    <r>
      <rPr>
        <sz val="14"/>
        <rFont val="新細明體"/>
        <family val="1"/>
        <charset val="136"/>
      </rPr>
      <t>℃</t>
    </r>
    <r>
      <rPr>
        <sz val="14"/>
        <rFont val="標楷體"/>
        <family val="4"/>
        <charset val="136"/>
      </rPr>
      <t>馬達功率100%</t>
    </r>
  </si>
  <si>
    <r>
      <t>管路阻抗係數C</t>
    </r>
    <r>
      <rPr>
        <vertAlign val="subscript"/>
        <sz val="14"/>
        <rFont val="標楷體"/>
        <family val="4"/>
        <charset val="136"/>
      </rPr>
      <t>1</t>
    </r>
  </si>
  <si>
    <r>
      <t>靜位差 m, C</t>
    </r>
    <r>
      <rPr>
        <b/>
        <vertAlign val="subscript"/>
        <sz val="14"/>
        <rFont val="標楷體"/>
        <family val="4"/>
        <charset val="136"/>
      </rPr>
      <t>0</t>
    </r>
  </si>
  <si>
    <r>
      <t>管路阻抗係數C</t>
    </r>
    <r>
      <rPr>
        <b/>
        <vertAlign val="subscript"/>
        <sz val="14"/>
        <rFont val="標楷體"/>
        <family val="4"/>
        <charset val="136"/>
      </rPr>
      <t>1</t>
    </r>
  </si>
  <si>
    <t xml:space="preserve">       </t>
    <phoneticPr fontId="21" type="noConversion"/>
  </si>
  <si>
    <t xml:space="preserve">          </t>
    <phoneticPr fontId="21" type="noConversion"/>
  </si>
  <si>
    <t>額定馬力kW</t>
  </si>
  <si>
    <t>Hz</t>
    <phoneticPr fontId="27" type="noConversion"/>
  </si>
  <si>
    <t xml:space="preserve">KW </t>
    <phoneticPr fontId="27" type="noConversion"/>
  </si>
  <si>
    <t xml:space="preserve">HP </t>
  </si>
  <si>
    <t xml:space="preserve">rpm </t>
  </si>
  <si>
    <t xml:space="preserve">IE1 </t>
  </si>
  <si>
    <t xml:space="preserve">IE2 </t>
  </si>
  <si>
    <t xml:space="preserve">IE3 </t>
  </si>
  <si>
    <t xml:space="preserve">IE4 </t>
  </si>
  <si>
    <t xml:space="preserve">      </t>
    <phoneticPr fontId="21" type="noConversion"/>
  </si>
  <si>
    <r>
      <t>C</t>
    </r>
    <r>
      <rPr>
        <vertAlign val="subscript"/>
        <sz val="12"/>
        <color theme="1"/>
        <rFont val="新細明體"/>
        <family val="1"/>
        <charset val="136"/>
        <scheme val="minor"/>
      </rPr>
      <t>0</t>
    </r>
    <r>
      <rPr>
        <sz val="12"/>
        <rFont val="PMingLiu"/>
        <family val="1"/>
        <charset val="136"/>
      </rPr>
      <t>=</t>
    </r>
    <phoneticPr fontId="32" type="noConversion"/>
  </si>
  <si>
    <t>C=</t>
    <phoneticPr fontId="32" type="noConversion"/>
  </si>
  <si>
    <t>量測值</t>
    <phoneticPr fontId="32" type="noConversion"/>
  </si>
  <si>
    <t>◇</t>
    <phoneticPr fontId="32" type="noConversion"/>
  </si>
  <si>
    <t>□</t>
    <phoneticPr fontId="32" type="noConversion"/>
  </si>
  <si>
    <t>建議更新 100% @5℃</t>
    <phoneticPr fontId="32" type="noConversion"/>
  </si>
  <si>
    <t>○</t>
    <phoneticPr fontId="32" type="noConversion"/>
  </si>
  <si>
    <r>
      <t>m</t>
    </r>
    <r>
      <rPr>
        <sz val="12"/>
        <rFont val="PMingLiu"/>
        <family val="1"/>
        <charset val="136"/>
      </rPr>
      <t>ax LPM</t>
    </r>
    <phoneticPr fontId="32" type="noConversion"/>
  </si>
  <si>
    <t>現況修正回溫差5℃</t>
    <phoneticPr fontId="32" type="noConversion"/>
  </si>
  <si>
    <r>
      <t>k</t>
    </r>
    <r>
      <rPr>
        <sz val="12"/>
        <rFont val="PMingLiu"/>
        <family val="1"/>
        <charset val="136"/>
      </rPr>
      <t>W負載比</t>
    </r>
    <phoneticPr fontId="21" type="noConversion"/>
  </si>
  <si>
    <t>RT負載比</t>
    <phoneticPr fontId="21" type="noConversion"/>
  </si>
  <si>
    <t>量測點現況 ▲</t>
    <phoneticPr fontId="21" type="noConversion"/>
  </si>
  <si>
    <t>現況修正回溫差5℃ ◆</t>
    <phoneticPr fontId="32" type="noConversion"/>
  </si>
  <si>
    <t>修正回溫差5℃+負載100%</t>
    <phoneticPr fontId="32" type="noConversion"/>
  </si>
  <si>
    <t>修正回溫差5℃+負載100% ■</t>
    <phoneticPr fontId="32" type="noConversion"/>
  </si>
  <si>
    <t>馬達運轉負載100%,Δt=5℃</t>
    <phoneticPr fontId="21" type="noConversion"/>
  </si>
  <si>
    <t>建議更新 100%,Δt=5℃ ●</t>
    <phoneticPr fontId="32" type="noConversion"/>
  </si>
  <si>
    <r>
      <rPr>
        <b/>
        <sz val="14"/>
        <rFont val="PMingLiu"/>
        <family val="1"/>
        <charset val="136"/>
      </rPr>
      <t>Q</t>
    </r>
    <r>
      <rPr>
        <b/>
        <vertAlign val="superscript"/>
        <sz val="14"/>
        <rFont val="PMingLiu"/>
        <family val="1"/>
        <charset val="136"/>
      </rPr>
      <t>2</t>
    </r>
    <phoneticPr fontId="21" type="noConversion"/>
  </si>
  <si>
    <t>全新系統</t>
    <phoneticPr fontId="21" type="noConversion"/>
  </si>
  <si>
    <t>揚程</t>
    <phoneticPr fontId="21" type="noConversion"/>
  </si>
  <si>
    <r>
      <t xml:space="preserve">全新系統  </t>
    </r>
    <r>
      <rPr>
        <b/>
        <sz val="12"/>
        <rFont val="PMingLiu"/>
        <family val="1"/>
        <charset val="136"/>
      </rPr>
      <t>＋</t>
    </r>
    <phoneticPr fontId="21" type="noConversion"/>
  </si>
  <si>
    <t>熱負載 kW@Δt 4.5℃</t>
    <phoneticPr fontId="21" type="noConversion"/>
  </si>
  <si>
    <t>熱負載 RT</t>
    <phoneticPr fontId="21" type="noConversion"/>
  </si>
  <si>
    <t>熱負載 kWΔt 4℃</t>
    <phoneticPr fontId="21" type="noConversion"/>
  </si>
  <si>
    <t>熱負載 kWΔt 3.5℃</t>
    <phoneticPr fontId="21" type="noConversion"/>
  </si>
  <si>
    <t>冰水機</t>
    <phoneticPr fontId="21" type="noConversion"/>
  </si>
  <si>
    <t>冰機能效 kW/RT</t>
    <phoneticPr fontId="21" type="noConversion"/>
  </si>
  <si>
    <t>全新系統-新冰水機+新泵浦，新管路，新冷卻塔</t>
    <phoneticPr fontId="21" type="noConversion"/>
  </si>
  <si>
    <t>IPLV-全新系統-新冰水機+新泵浦，新管路，新冷卻塔</t>
    <phoneticPr fontId="21" type="noConversion"/>
  </si>
  <si>
    <t>IPLV 系統能效計算表</t>
    <phoneticPr fontId="21" type="noConversion"/>
  </si>
  <si>
    <t>IPLV 冰水機能效計算表</t>
    <phoneticPr fontId="21" type="noConversion"/>
  </si>
  <si>
    <t>IPLV 冰水泵能效計算表</t>
    <phoneticPr fontId="21" type="noConversion"/>
  </si>
  <si>
    <t>IPLV 冷卻泵能效計算表</t>
    <phoneticPr fontId="21" type="noConversion"/>
  </si>
  <si>
    <t>IPLV 冷卻塔能效計算表</t>
    <phoneticPr fontId="21" type="noConversion"/>
  </si>
  <si>
    <t>流功搬運效率(kW/kW)</t>
    <phoneticPr fontId="21" type="noConversion"/>
  </si>
  <si>
    <t>耗電搬運效率(kW/kW)</t>
    <phoneticPr fontId="21" type="noConversion"/>
  </si>
  <si>
    <t>系統能效 kW/RT</t>
    <phoneticPr fontId="21" type="noConversion"/>
  </si>
  <si>
    <t>量測值</t>
    <phoneticPr fontId="21" type="noConversion"/>
  </si>
  <si>
    <t>計算值</t>
    <phoneticPr fontId="21" type="noConversion"/>
  </si>
  <si>
    <r>
      <t>管截面積m</t>
    </r>
    <r>
      <rPr>
        <vertAlign val="superscript"/>
        <sz val="18"/>
        <rFont val="DFKai-SB"/>
        <family val="4"/>
        <charset val="136"/>
      </rPr>
      <t>2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</si>
</sst>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0000_);[Red]\(0.000000\)"/>
    <numFmt numFmtId="177" formatCode="0.0_ "/>
    <numFmt numFmtId="178" formatCode="0.00_ "/>
    <numFmt numFmtId="179" formatCode="0_ "/>
    <numFmt numFmtId="180" formatCode="0.0%"/>
    <numFmt numFmtId="181" formatCode="0.00_);[Red]\(0.00\)"/>
    <numFmt numFmtId="182" formatCode="0.000_);[Red]\(0.000\)"/>
    <numFmt numFmtId="183" formatCode="0.0_);[Red]\(0.0\)"/>
    <numFmt numFmtId="184" formatCode="0.00000_);[Red]\(0.00000\)"/>
    <numFmt numFmtId="185" formatCode="0.00000000_);[Red]\(0.00000000\)"/>
    <numFmt numFmtId="186" formatCode="0_);[Red]\(0\)"/>
    <numFmt numFmtId="187" formatCode="0.00000_ "/>
    <numFmt numFmtId="188" formatCode="0.0000_);[Red]\(0.0000\)"/>
    <numFmt numFmtId="189" formatCode="0.000_ "/>
    <numFmt numFmtId="190" formatCode="0.0000000_ "/>
    <numFmt numFmtId="191" formatCode="_-* #,##0.000_-;\-* #,##0.000_-;_-* &quot;-&quot;??_-;_-@"/>
    <numFmt numFmtId="192" formatCode="0.000000_ "/>
    <numFmt numFmtId="193" formatCode="0.00000000_ "/>
    <numFmt numFmtId="194" formatCode="0.0"/>
    <numFmt numFmtId="195" formatCode="0.00000"/>
  </numFmts>
  <fonts count="39">
    <font>
      <sz val="12"/>
      <name val="PMingLiu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DFKai-SB"/>
      <family val="4"/>
      <charset val="136"/>
    </font>
    <font>
      <b/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8"/>
      <color rgb="FF000000"/>
      <name val="DFKai-SB"/>
      <family val="4"/>
      <charset val="136"/>
    </font>
    <font>
      <sz val="18"/>
      <name val="DFKai-SB"/>
      <family val="4"/>
      <charset val="136"/>
    </font>
    <font>
      <b/>
      <sz val="16"/>
      <name val="DFKai-SB"/>
      <family val="4"/>
      <charset val="136"/>
    </font>
    <font>
      <b/>
      <sz val="14"/>
      <name val="DFKai-SB"/>
      <family val="4"/>
      <charset val="136"/>
    </font>
    <font>
      <sz val="14"/>
      <name val="DFKai-SB"/>
      <family val="4"/>
      <charset val="136"/>
    </font>
    <font>
      <strike/>
      <sz val="14"/>
      <name val="DFKai-SB"/>
      <family val="4"/>
      <charset val="136"/>
    </font>
    <font>
      <sz val="12"/>
      <name val="DFKai-SB"/>
      <family val="4"/>
      <charset val="136"/>
    </font>
    <font>
      <b/>
      <sz val="12"/>
      <name val="DFKai-SB"/>
      <family val="4"/>
      <charset val="136"/>
    </font>
    <font>
      <sz val="12"/>
      <color rgb="FF000000"/>
      <name val="PMingLiu"/>
      <family val="1"/>
      <charset val="136"/>
    </font>
    <font>
      <b/>
      <vertAlign val="subscript"/>
      <sz val="14"/>
      <name val="標楷體"/>
      <family val="4"/>
      <charset val="136"/>
    </font>
    <font>
      <vertAlign val="subscript"/>
      <sz val="14"/>
      <name val="標楷體"/>
      <family val="4"/>
      <charset val="136"/>
    </font>
    <font>
      <vertAlign val="superscript"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vertAlign val="superscript"/>
      <sz val="18"/>
      <name val="DFKai-SB"/>
      <family val="4"/>
      <charset val="136"/>
    </font>
    <font>
      <sz val="14"/>
      <name val="PMingLiu"/>
      <family val="1"/>
      <charset val="136"/>
    </font>
    <font>
      <strike/>
      <sz val="18"/>
      <name val="DFKai-SB"/>
      <family val="4"/>
      <charset val="136"/>
    </font>
    <font>
      <sz val="10"/>
      <color rgb="FF000000"/>
      <name val="Calibri"/>
      <family val="2"/>
    </font>
    <font>
      <b/>
      <sz val="12"/>
      <color rgb="FF000000"/>
      <name val="新細明體"/>
      <family val="1"/>
      <charset val="136"/>
      <scheme val="minor"/>
    </font>
    <font>
      <sz val="15"/>
      <color rgb="FF000000"/>
      <name val="PMingLiU"/>
      <family val="1"/>
      <charset val="136"/>
    </font>
    <font>
      <b/>
      <strike/>
      <sz val="12"/>
      <color rgb="FF00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sz val="12"/>
      <name val="PMingLiu"/>
      <family val="1"/>
      <charset val="136"/>
    </font>
    <font>
      <vertAlign val="subscript"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name val="PMingLiu"/>
      <family val="1"/>
      <charset val="136"/>
    </font>
    <font>
      <b/>
      <vertAlign val="superscript"/>
      <sz val="14"/>
      <name val="PMingLiu"/>
      <family val="1"/>
      <charset val="136"/>
    </font>
    <font>
      <b/>
      <sz val="12"/>
      <name val="PMingLiu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5" fillId="0" borderId="63">
      <alignment vertical="center"/>
    </xf>
    <xf numFmtId="9" fontId="30" fillId="0" borderId="0" applyFont="0" applyFill="0" applyBorder="0" applyAlignment="0" applyProtection="0">
      <alignment vertical="center"/>
    </xf>
    <xf numFmtId="0" fontId="2" fillId="0" borderId="63">
      <alignment vertical="center"/>
    </xf>
    <xf numFmtId="9" fontId="2" fillId="0" borderId="63" applyFont="0" applyFill="0" applyBorder="0" applyAlignment="0" applyProtection="0">
      <alignment vertical="center"/>
    </xf>
    <xf numFmtId="0" fontId="33" fillId="0" borderId="63">
      <alignment vertical="center"/>
    </xf>
    <xf numFmtId="0" fontId="35" fillId="0" borderId="63">
      <alignment vertical="center"/>
    </xf>
  </cellStyleXfs>
  <cellXfs count="43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6" fillId="2" borderId="4" xfId="0" applyFont="1" applyFill="1" applyBorder="1" applyAlignment="1">
      <alignment horizontal="left" vertical="center" wrapText="1" readingOrder="1"/>
    </xf>
    <xf numFmtId="0" fontId="3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 readingOrder="1"/>
    </xf>
    <xf numFmtId="0" fontId="6" fillId="3" borderId="4" xfId="0" applyFont="1" applyFill="1" applyBorder="1" applyAlignment="1">
      <alignment horizontal="left" vertical="center" wrapText="1" readingOrder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1" fontId="11" fillId="0" borderId="19" xfId="0" applyNumberFormat="1" applyFont="1" applyBorder="1" applyAlignment="1">
      <alignment horizontal="center" vertical="center"/>
    </xf>
    <xf numFmtId="181" fontId="11" fillId="0" borderId="2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81" fontId="11" fillId="0" borderId="26" xfId="0" applyNumberFormat="1" applyFont="1" applyBorder="1" applyAlignment="1">
      <alignment horizontal="center" vertical="center"/>
    </xf>
    <xf numFmtId="182" fontId="10" fillId="4" borderId="27" xfId="0" applyNumberFormat="1" applyFont="1" applyFill="1" applyBorder="1" applyAlignment="1">
      <alignment horizontal="center" vertical="center"/>
    </xf>
    <xf numFmtId="182" fontId="10" fillId="0" borderId="26" xfId="0" applyNumberFormat="1" applyFont="1" applyBorder="1" applyAlignment="1">
      <alignment horizontal="center" vertical="center"/>
    </xf>
    <xf numFmtId="181" fontId="11" fillId="0" borderId="24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81" fontId="11" fillId="0" borderId="30" xfId="0" applyNumberFormat="1" applyFont="1" applyBorder="1" applyAlignment="1">
      <alignment horizontal="center" vertical="center"/>
    </xf>
    <xf numFmtId="181" fontId="11" fillId="0" borderId="32" xfId="0" applyNumberFormat="1" applyFont="1" applyBorder="1" applyAlignment="1">
      <alignment horizontal="center" vertical="center"/>
    </xf>
    <xf numFmtId="181" fontId="11" fillId="0" borderId="18" xfId="0" applyNumberFormat="1" applyFont="1" applyBorder="1" applyAlignment="1">
      <alignment horizontal="center" vertical="center"/>
    </xf>
    <xf numFmtId="181" fontId="11" fillId="0" borderId="34" xfId="0" applyNumberFormat="1" applyFont="1" applyBorder="1" applyAlignment="1">
      <alignment horizontal="center" vertical="center"/>
    </xf>
    <xf numFmtId="182" fontId="10" fillId="0" borderId="35" xfId="0" applyNumberFormat="1" applyFont="1" applyBorder="1" applyAlignment="1">
      <alignment horizontal="center" vertical="center"/>
    </xf>
    <xf numFmtId="182" fontId="10" fillId="0" borderId="36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181" fontId="11" fillId="0" borderId="38" xfId="0" applyNumberFormat="1" applyFont="1" applyBorder="1" applyAlignment="1">
      <alignment horizontal="center" vertical="center"/>
    </xf>
    <xf numFmtId="183" fontId="10" fillId="0" borderId="19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80" fontId="10" fillId="0" borderId="40" xfId="0" applyNumberFormat="1" applyFont="1" applyBorder="1" applyAlignment="1">
      <alignment horizontal="center" vertical="center"/>
    </xf>
    <xf numFmtId="180" fontId="10" fillId="0" borderId="41" xfId="0" applyNumberFormat="1" applyFont="1" applyBorder="1" applyAlignment="1">
      <alignment horizontal="center" vertical="center"/>
    </xf>
    <xf numFmtId="181" fontId="11" fillId="0" borderId="4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81" fontId="11" fillId="0" borderId="42" xfId="0" applyNumberFormat="1" applyFont="1" applyBorder="1" applyAlignment="1">
      <alignment horizontal="center" vertical="center"/>
    </xf>
    <xf numFmtId="181" fontId="11" fillId="0" borderId="43" xfId="0" applyNumberFormat="1" applyFont="1" applyBorder="1" applyAlignment="1">
      <alignment horizontal="center" vertical="center"/>
    </xf>
    <xf numFmtId="184" fontId="10" fillId="0" borderId="43" xfId="0" applyNumberFormat="1" applyFont="1" applyBorder="1" applyAlignment="1">
      <alignment horizontal="center" vertical="center"/>
    </xf>
    <xf numFmtId="181" fontId="11" fillId="0" borderId="44" xfId="0" applyNumberFormat="1" applyFont="1" applyBorder="1" applyAlignment="1">
      <alignment horizontal="center" vertical="center"/>
    </xf>
    <xf numFmtId="181" fontId="11" fillId="0" borderId="45" xfId="0" applyNumberFormat="1" applyFont="1" applyBorder="1" applyAlignment="1">
      <alignment horizontal="center" vertical="center"/>
    </xf>
    <xf numFmtId="181" fontId="11" fillId="0" borderId="46" xfId="0" applyNumberFormat="1" applyFont="1" applyBorder="1" applyAlignment="1">
      <alignment horizontal="center" vertical="center"/>
    </xf>
    <xf numFmtId="181" fontId="11" fillId="0" borderId="47" xfId="0" applyNumberFormat="1" applyFont="1" applyBorder="1" applyAlignment="1">
      <alignment horizontal="center" vertical="center"/>
    </xf>
    <xf numFmtId="181" fontId="11" fillId="0" borderId="27" xfId="0" applyNumberFormat="1" applyFont="1" applyBorder="1" applyAlignment="1">
      <alignment horizontal="center" vertical="center"/>
    </xf>
    <xf numFmtId="181" fontId="10" fillId="0" borderId="2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1" fontId="11" fillId="0" borderId="4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81" fontId="11" fillId="0" borderId="40" xfId="0" applyNumberFormat="1" applyFont="1" applyBorder="1" applyAlignment="1">
      <alignment horizontal="center" vertical="center"/>
    </xf>
    <xf numFmtId="181" fontId="10" fillId="0" borderId="26" xfId="0" applyNumberFormat="1" applyFont="1" applyBorder="1" applyAlignment="1">
      <alignment horizontal="center" vertical="center"/>
    </xf>
    <xf numFmtId="182" fontId="10" fillId="0" borderId="41" xfId="0" applyNumberFormat="1" applyFont="1" applyBorder="1" applyAlignment="1">
      <alignment horizontal="center" vertical="center"/>
    </xf>
    <xf numFmtId="182" fontId="10" fillId="0" borderId="32" xfId="0" applyNumberFormat="1" applyFont="1" applyBorder="1" applyAlignment="1">
      <alignment horizontal="center" vertical="center"/>
    </xf>
    <xf numFmtId="181" fontId="11" fillId="0" borderId="49" xfId="0" applyNumberFormat="1" applyFont="1" applyBorder="1" applyAlignment="1">
      <alignment horizontal="center" vertical="center"/>
    </xf>
    <xf numFmtId="183" fontId="10" fillId="0" borderId="46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81" fontId="11" fillId="0" borderId="52" xfId="0" applyNumberFormat="1" applyFont="1" applyBorder="1" applyAlignment="1">
      <alignment horizontal="center" vertical="center"/>
    </xf>
    <xf numFmtId="181" fontId="11" fillId="0" borderId="53" xfId="0" applyNumberFormat="1" applyFont="1" applyBorder="1" applyAlignment="1">
      <alignment horizontal="center" vertical="center"/>
    </xf>
    <xf numFmtId="182" fontId="12" fillId="0" borderId="41" xfId="0" applyNumberFormat="1" applyFont="1" applyBorder="1" applyAlignment="1">
      <alignment horizontal="center" vertical="center"/>
    </xf>
    <xf numFmtId="182" fontId="12" fillId="0" borderId="3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181" fontId="11" fillId="0" borderId="58" xfId="0" applyNumberFormat="1" applyFont="1" applyBorder="1" applyAlignment="1">
      <alignment horizontal="center" vertical="center"/>
    </xf>
    <xf numFmtId="181" fontId="11" fillId="0" borderId="35" xfId="0" applyNumberFormat="1" applyFont="1" applyBorder="1" applyAlignment="1">
      <alignment horizontal="center" vertical="center"/>
    </xf>
    <xf numFmtId="181" fontId="11" fillId="0" borderId="36" xfId="0" applyNumberFormat="1" applyFont="1" applyBorder="1" applyAlignment="1">
      <alignment horizontal="center" vertical="center"/>
    </xf>
    <xf numFmtId="180" fontId="12" fillId="0" borderId="2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2" fillId="0" borderId="27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80" fontId="12" fillId="0" borderId="26" xfId="0" applyNumberFormat="1" applyFont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0" fontId="12" fillId="0" borderId="40" xfId="0" applyFont="1" applyBorder="1" applyAlignment="1">
      <alignment horizontal="center" vertical="center"/>
    </xf>
    <xf numFmtId="191" fontId="12" fillId="0" borderId="41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73" xfId="0" applyFont="1" applyBorder="1" applyAlignment="1">
      <alignment horizontal="center" vertical="center"/>
    </xf>
    <xf numFmtId="186" fontId="10" fillId="0" borderId="2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87" fontId="10" fillId="0" borderId="3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80" fontId="10" fillId="0" borderId="27" xfId="0" applyNumberFormat="1" applyFont="1" applyBorder="1" applyAlignment="1">
      <alignment horizontal="center" vertical="center"/>
    </xf>
    <xf numFmtId="183" fontId="10" fillId="0" borderId="27" xfId="0" applyNumberFormat="1" applyFont="1" applyBorder="1" applyAlignment="1">
      <alignment horizontal="center" vertical="center"/>
    </xf>
    <xf numFmtId="188" fontId="10" fillId="0" borderId="27" xfId="0" applyNumberFormat="1" applyFont="1" applyBorder="1" applyAlignment="1">
      <alignment horizontal="center" vertical="center"/>
    </xf>
    <xf numFmtId="186" fontId="10" fillId="0" borderId="27" xfId="0" applyNumberFormat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182" fontId="10" fillId="0" borderId="27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top"/>
    </xf>
    <xf numFmtId="0" fontId="24" fillId="2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6" fillId="5" borderId="74" xfId="1" applyFont="1" applyFill="1" applyBorder="1" applyAlignment="1">
      <alignment horizontal="center" vertical="center" wrapText="1"/>
    </xf>
    <xf numFmtId="0" fontId="25" fillId="0" borderId="63" xfId="1">
      <alignment vertical="center"/>
    </xf>
    <xf numFmtId="0" fontId="26" fillId="6" borderId="74" xfId="1" applyFont="1" applyFill="1" applyBorder="1" applyAlignment="1">
      <alignment horizontal="center" vertical="center"/>
    </xf>
    <xf numFmtId="0" fontId="26" fillId="6" borderId="74" xfId="1" applyFont="1" applyFill="1" applyBorder="1" applyAlignment="1">
      <alignment horizontal="center" vertical="center" wrapText="1"/>
    </xf>
    <xf numFmtId="0" fontId="28" fillId="6" borderId="74" xfId="1" applyFont="1" applyFill="1" applyBorder="1" applyAlignment="1">
      <alignment horizontal="center" vertical="center"/>
    </xf>
    <xf numFmtId="0" fontId="26" fillId="7" borderId="74" xfId="1" applyFont="1" applyFill="1" applyBorder="1" applyAlignment="1">
      <alignment horizontal="center" vertical="center"/>
    </xf>
    <xf numFmtId="0" fontId="28" fillId="7" borderId="74" xfId="1" applyFont="1" applyFill="1" applyBorder="1" applyAlignment="1">
      <alignment horizontal="center" vertical="center"/>
    </xf>
    <xf numFmtId="0" fontId="26" fillId="8" borderId="74" xfId="1" applyFont="1" applyFill="1" applyBorder="1" applyAlignment="1">
      <alignment horizontal="center" vertical="center"/>
    </xf>
    <xf numFmtId="0" fontId="28" fillId="8" borderId="74" xfId="1" applyFont="1" applyFill="1" applyBorder="1" applyAlignment="1">
      <alignment horizontal="center" vertical="center"/>
    </xf>
    <xf numFmtId="0" fontId="26" fillId="9" borderId="74" xfId="1" applyFont="1" applyFill="1" applyBorder="1" applyAlignment="1">
      <alignment horizontal="center" vertical="center"/>
    </xf>
    <xf numFmtId="0" fontId="28" fillId="9" borderId="74" xfId="1" applyFont="1" applyFill="1" applyBorder="1" applyAlignment="1">
      <alignment horizontal="center" vertical="center"/>
    </xf>
    <xf numFmtId="0" fontId="26" fillId="0" borderId="63" xfId="1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181" fontId="11" fillId="0" borderId="74" xfId="0" applyNumberFormat="1" applyFont="1" applyBorder="1" applyAlignment="1">
      <alignment horizontal="center" vertical="center"/>
    </xf>
    <xf numFmtId="177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182" fontId="10" fillId="0" borderId="74" xfId="0" applyNumberFormat="1" applyFont="1" applyBorder="1" applyAlignment="1">
      <alignment horizontal="center" vertical="center"/>
    </xf>
    <xf numFmtId="189" fontId="10" fillId="0" borderId="74" xfId="0" applyNumberFormat="1" applyFont="1" applyBorder="1" applyAlignment="1">
      <alignment vertical="center"/>
    </xf>
    <xf numFmtId="187" fontId="10" fillId="0" borderId="74" xfId="0" applyNumberFormat="1" applyFont="1" applyBorder="1" applyAlignment="1">
      <alignment vertical="center"/>
    </xf>
    <xf numFmtId="183" fontId="10" fillId="0" borderId="74" xfId="0" applyNumberFormat="1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/>
    </xf>
    <xf numFmtId="184" fontId="10" fillId="0" borderId="7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vertical="center"/>
    </xf>
    <xf numFmtId="0" fontId="11" fillId="0" borderId="87" xfId="0" applyFont="1" applyBorder="1" applyAlignment="1">
      <alignment horizontal="center" vertical="center"/>
    </xf>
    <xf numFmtId="183" fontId="10" fillId="0" borderId="87" xfId="0" applyNumberFormat="1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183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182" fontId="10" fillId="0" borderId="74" xfId="0" applyNumberFormat="1" applyFont="1" applyBorder="1" applyAlignment="1">
      <alignment horizontal="center" vertical="center"/>
    </xf>
    <xf numFmtId="178" fontId="10" fillId="0" borderId="74" xfId="0" applyNumberFormat="1" applyFont="1" applyBorder="1" applyAlignment="1">
      <alignment horizontal="center" vertical="center" wrapText="1"/>
    </xf>
    <xf numFmtId="188" fontId="10" fillId="0" borderId="74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wrapText="1"/>
    </xf>
    <xf numFmtId="181" fontId="11" fillId="0" borderId="82" xfId="0" applyNumberFormat="1" applyFont="1" applyBorder="1" applyAlignment="1">
      <alignment horizontal="center" vertical="center"/>
    </xf>
    <xf numFmtId="183" fontId="10" fillId="0" borderId="82" xfId="0" applyNumberFormat="1" applyFont="1" applyBorder="1" applyAlignment="1">
      <alignment horizontal="center" vertical="center"/>
    </xf>
    <xf numFmtId="181" fontId="11" fillId="0" borderId="83" xfId="0" applyNumberFormat="1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181" fontId="11" fillId="0" borderId="87" xfId="0" applyNumberFormat="1" applyFont="1" applyBorder="1" applyAlignment="1">
      <alignment horizontal="center" vertical="center"/>
    </xf>
    <xf numFmtId="181" fontId="11" fillId="0" borderId="88" xfId="0" applyNumberFormat="1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 wrapText="1"/>
    </xf>
    <xf numFmtId="181" fontId="11" fillId="0" borderId="93" xfId="0" applyNumberFormat="1" applyFont="1" applyBorder="1" applyAlignment="1">
      <alignment horizontal="center" vertical="center"/>
    </xf>
    <xf numFmtId="181" fontId="11" fillId="0" borderId="94" xfId="0" applyNumberFormat="1" applyFont="1" applyBorder="1" applyAlignment="1">
      <alignment horizontal="center" vertical="center"/>
    </xf>
    <xf numFmtId="183" fontId="10" fillId="0" borderId="94" xfId="0" applyNumberFormat="1" applyFont="1" applyBorder="1" applyAlignment="1">
      <alignment horizontal="center" vertical="center"/>
    </xf>
    <xf numFmtId="181" fontId="11" fillId="0" borderId="95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0" fillId="0" borderId="63" xfId="0" applyBorder="1" applyAlignment="1">
      <alignment vertical="center"/>
    </xf>
    <xf numFmtId="0" fontId="10" fillId="0" borderId="84" xfId="0" applyFont="1" applyBorder="1" applyAlignment="1">
      <alignment vertical="center"/>
    </xf>
    <xf numFmtId="181" fontId="11" fillId="0" borderId="85" xfId="0" applyNumberFormat="1" applyFont="1" applyBorder="1" applyAlignment="1">
      <alignment horizontal="center" vertical="center"/>
    </xf>
    <xf numFmtId="177" fontId="10" fillId="0" borderId="85" xfId="0" applyNumberFormat="1" applyFont="1" applyBorder="1" applyAlignment="1">
      <alignment horizontal="center" vertical="center"/>
    </xf>
    <xf numFmtId="182" fontId="10" fillId="0" borderId="8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177" fontId="3" fillId="3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80" fontId="3" fillId="3" borderId="4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 wrapText="1"/>
    </xf>
    <xf numFmtId="181" fontId="10" fillId="0" borderId="19" xfId="0" applyNumberFormat="1" applyFont="1" applyBorder="1" applyAlignment="1">
      <alignment horizontal="center" vertical="center"/>
    </xf>
    <xf numFmtId="182" fontId="10" fillId="0" borderId="43" xfId="0" applyNumberFormat="1" applyFont="1" applyBorder="1" applyAlignment="1">
      <alignment horizontal="center" vertical="center"/>
    </xf>
    <xf numFmtId="181" fontId="10" fillId="0" borderId="46" xfId="0" applyNumberFormat="1" applyFont="1" applyBorder="1" applyAlignment="1">
      <alignment horizontal="center" vertical="center"/>
    </xf>
    <xf numFmtId="180" fontId="10" fillId="0" borderId="48" xfId="0" applyNumberFormat="1" applyFont="1" applyBorder="1" applyAlignment="1">
      <alignment horizontal="center" vertical="center"/>
    </xf>
    <xf numFmtId="184" fontId="10" fillId="0" borderId="27" xfId="0" applyNumberFormat="1" applyFont="1" applyBorder="1" applyAlignment="1">
      <alignment horizontal="center" vertical="center"/>
    </xf>
    <xf numFmtId="181" fontId="10" fillId="0" borderId="48" xfId="0" applyNumberFormat="1" applyFont="1" applyBorder="1" applyAlignment="1">
      <alignment horizontal="center" vertical="center"/>
    </xf>
    <xf numFmtId="180" fontId="10" fillId="0" borderId="24" xfId="0" applyNumberFormat="1" applyFont="1" applyBorder="1" applyAlignment="1">
      <alignment horizontal="center" vertical="center"/>
    </xf>
    <xf numFmtId="181" fontId="10" fillId="0" borderId="41" xfId="0" applyNumberFormat="1" applyFont="1" applyBorder="1" applyAlignment="1">
      <alignment horizontal="center" vertical="center"/>
    </xf>
    <xf numFmtId="184" fontId="10" fillId="0" borderId="41" xfId="0" applyNumberFormat="1" applyFont="1" applyBorder="1" applyAlignment="1">
      <alignment horizontal="center" vertical="center"/>
    </xf>
    <xf numFmtId="180" fontId="10" fillId="0" borderId="51" xfId="0" applyNumberFormat="1" applyFont="1" applyBorder="1" applyAlignment="1">
      <alignment horizontal="center" vertical="center"/>
    </xf>
    <xf numFmtId="181" fontId="10" fillId="0" borderId="85" xfId="0" applyNumberFormat="1" applyFont="1" applyBorder="1" applyAlignment="1">
      <alignment horizontal="center" vertical="center"/>
    </xf>
    <xf numFmtId="188" fontId="10" fillId="0" borderId="85" xfId="0" applyNumberFormat="1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180" fontId="12" fillId="0" borderId="105" xfId="0" applyNumberFormat="1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191" fontId="12" fillId="0" borderId="107" xfId="0" applyNumberFormat="1" applyFont="1" applyBorder="1" applyAlignment="1">
      <alignment horizontal="center" vertical="center"/>
    </xf>
    <xf numFmtId="182" fontId="12" fillId="0" borderId="107" xfId="0" applyNumberFormat="1" applyFont="1" applyBorder="1" applyAlignment="1">
      <alignment horizontal="center" vertical="center"/>
    </xf>
    <xf numFmtId="182" fontId="12" fillId="0" borderId="108" xfId="0" applyNumberFormat="1" applyFont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0" fontId="12" fillId="0" borderId="65" xfId="0" applyNumberFormat="1" applyFont="1" applyBorder="1" applyAlignment="1">
      <alignment horizontal="center" vertical="center"/>
    </xf>
    <xf numFmtId="179" fontId="12" fillId="0" borderId="38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9" fontId="12" fillId="0" borderId="69" xfId="0" applyNumberFormat="1" applyFont="1" applyBorder="1" applyAlignment="1">
      <alignment horizontal="center" vertical="center"/>
    </xf>
    <xf numFmtId="178" fontId="12" fillId="0" borderId="52" xfId="0" applyNumberFormat="1" applyFont="1" applyBorder="1" applyAlignment="1">
      <alignment horizontal="center" vertical="center"/>
    </xf>
    <xf numFmtId="178" fontId="12" fillId="0" borderId="53" xfId="0" applyNumberFormat="1" applyFont="1" applyBorder="1" applyAlignment="1">
      <alignment horizontal="center" vertical="center"/>
    </xf>
    <xf numFmtId="10" fontId="12" fillId="0" borderId="37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center" vertical="center"/>
    </xf>
    <xf numFmtId="10" fontId="12" fillId="0" borderId="67" xfId="0" applyNumberFormat="1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8" fontId="12" fillId="0" borderId="36" xfId="0" applyNumberFormat="1" applyFont="1" applyBorder="1" applyAlignment="1">
      <alignment horizontal="center" vertical="center"/>
    </xf>
    <xf numFmtId="10" fontId="12" fillId="0" borderId="59" xfId="0" applyNumberFormat="1" applyFont="1" applyBorder="1" applyAlignment="1">
      <alignment horizontal="center" vertical="center"/>
    </xf>
    <xf numFmtId="179" fontId="12" fillId="0" borderId="70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78" fontId="12" fillId="0" borderId="41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178" fontId="12" fillId="0" borderId="32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9" fontId="12" fillId="0" borderId="109" xfId="0" applyNumberFormat="1" applyFont="1" applyBorder="1" applyAlignment="1">
      <alignment horizontal="center" vertical="center"/>
    </xf>
    <xf numFmtId="9" fontId="12" fillId="0" borderId="110" xfId="0" applyNumberFormat="1" applyFont="1" applyBorder="1" applyAlignment="1">
      <alignment horizontal="center" vertical="center"/>
    </xf>
    <xf numFmtId="9" fontId="12" fillId="0" borderId="111" xfId="0" applyNumberFormat="1" applyFont="1" applyBorder="1" applyAlignment="1">
      <alignment horizontal="center" vertical="center"/>
    </xf>
    <xf numFmtId="177" fontId="12" fillId="0" borderId="104" xfId="0" applyNumberFormat="1" applyFont="1" applyBorder="1" applyAlignment="1">
      <alignment horizontal="center" vertical="center"/>
    </xf>
    <xf numFmtId="177" fontId="12" fillId="0" borderId="105" xfId="0" applyNumberFormat="1" applyFont="1" applyBorder="1" applyAlignment="1">
      <alignment horizontal="center" vertical="center"/>
    </xf>
    <xf numFmtId="177" fontId="12" fillId="0" borderId="116" xfId="0" applyNumberFormat="1" applyFont="1" applyBorder="1" applyAlignment="1">
      <alignment horizontal="center" vertical="center"/>
    </xf>
    <xf numFmtId="181" fontId="12" fillId="0" borderId="106" xfId="0" applyNumberFormat="1" applyFont="1" applyBorder="1" applyAlignment="1">
      <alignment horizontal="center" vertical="center"/>
    </xf>
    <xf numFmtId="181" fontId="12" fillId="0" borderId="112" xfId="0" applyNumberFormat="1" applyFont="1" applyBorder="1" applyAlignment="1">
      <alignment horizontal="center" vertical="center"/>
    </xf>
    <xf numFmtId="181" fontId="12" fillId="0" borderId="113" xfId="0" applyNumberFormat="1" applyFont="1" applyBorder="1" applyAlignment="1">
      <alignment horizontal="center" vertical="center"/>
    </xf>
    <xf numFmtId="182" fontId="12" fillId="0" borderId="19" xfId="0" applyNumberFormat="1" applyFont="1" applyBorder="1" applyAlignment="1">
      <alignment horizontal="center" vertical="center"/>
    </xf>
    <xf numFmtId="182" fontId="12" fillId="0" borderId="20" xfId="0" applyNumberFormat="1" applyFont="1" applyBorder="1" applyAlignment="1">
      <alignment horizontal="center" vertical="center"/>
    </xf>
    <xf numFmtId="179" fontId="12" fillId="0" borderId="48" xfId="0" applyNumberFormat="1" applyFont="1" applyBorder="1" applyAlignment="1">
      <alignment horizontal="center" vertical="center"/>
    </xf>
    <xf numFmtId="182" fontId="12" fillId="0" borderId="27" xfId="0" applyNumberFormat="1" applyFont="1" applyBorder="1" applyAlignment="1">
      <alignment horizontal="center" vertical="center"/>
    </xf>
    <xf numFmtId="182" fontId="12" fillId="0" borderId="26" xfId="0" applyNumberFormat="1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194" fontId="26" fillId="6" borderId="74" xfId="1" applyNumberFormat="1" applyFont="1" applyFill="1" applyBorder="1" applyAlignment="1">
      <alignment horizontal="center" vertical="center" wrapText="1"/>
    </xf>
    <xf numFmtId="194" fontId="29" fillId="7" borderId="74" xfId="1" applyNumberFormat="1" applyFont="1" applyFill="1" applyBorder="1" applyAlignment="1">
      <alignment horizontal="center" vertical="center" wrapText="1"/>
    </xf>
    <xf numFmtId="194" fontId="29" fillId="9" borderId="74" xfId="1" applyNumberFormat="1" applyFont="1" applyFill="1" applyBorder="1" applyAlignment="1">
      <alignment horizontal="center" vertical="center" wrapText="1"/>
    </xf>
    <xf numFmtId="0" fontId="25" fillId="0" borderId="63" xfId="1" applyAlignment="1">
      <alignment horizontal="center" vertical="center"/>
    </xf>
    <xf numFmtId="194" fontId="7" fillId="2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 readingOrder="1"/>
    </xf>
    <xf numFmtId="0" fontId="6" fillId="2" borderId="11" xfId="0" applyFont="1" applyFill="1" applyBorder="1" applyAlignment="1">
      <alignment horizontal="left" vertical="center" wrapText="1" readingOrder="1"/>
    </xf>
    <xf numFmtId="181" fontId="0" fillId="0" borderId="63" xfId="3" applyNumberFormat="1" applyFont="1" applyAlignment="1" applyProtection="1">
      <alignment horizontal="right" vertical="center"/>
      <protection locked="0"/>
    </xf>
    <xf numFmtId="181" fontId="2" fillId="0" borderId="63" xfId="3" applyNumberFormat="1" applyAlignment="1" applyProtection="1">
      <alignment horizontal="center" vertical="center"/>
      <protection locked="0"/>
    </xf>
    <xf numFmtId="0" fontId="5" fillId="0" borderId="63" xfId="3" applyFont="1" applyAlignment="1" applyProtection="1">
      <alignment horizontal="right" vertical="center"/>
      <protection locked="0"/>
    </xf>
    <xf numFmtId="0" fontId="2" fillId="0" borderId="63" xfId="2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3" xfId="3" applyFont="1" applyAlignment="1" applyProtection="1">
      <alignment horizontal="right" vertical="center"/>
      <protection locked="0"/>
    </xf>
    <xf numFmtId="185" fontId="2" fillId="0" borderId="63" xfId="3" applyNumberFormat="1" applyAlignment="1" applyProtection="1">
      <alignment horizontal="center" vertical="center"/>
      <protection locked="0"/>
    </xf>
    <xf numFmtId="181" fontId="2" fillId="0" borderId="63" xfId="3" applyNumberFormat="1" applyAlignment="1" applyProtection="1">
      <alignment horizontal="right" vertical="center"/>
      <protection locked="0"/>
    </xf>
    <xf numFmtId="195" fontId="2" fillId="0" borderId="63" xfId="2" applyNumberFormat="1" applyFont="1" applyBorder="1" applyAlignment="1" applyProtection="1">
      <alignment vertical="center"/>
      <protection locked="0"/>
    </xf>
    <xf numFmtId="181" fontId="2" fillId="0" borderId="63" xfId="3" applyNumberFormat="1" applyProtection="1">
      <alignment vertical="center"/>
      <protection locked="0"/>
    </xf>
    <xf numFmtId="0" fontId="1" fillId="0" borderId="63" xfId="3" applyFont="1" applyAlignment="1" applyProtection="1">
      <alignment horizontal="center" vertical="center"/>
      <protection locked="0"/>
    </xf>
    <xf numFmtId="0" fontId="2" fillId="0" borderId="63" xfId="3" applyAlignment="1" applyProtection="1">
      <alignment horizontal="right" vertical="center"/>
      <protection locked="0"/>
    </xf>
    <xf numFmtId="0" fontId="34" fillId="0" borderId="63" xfId="5" applyFont="1" applyProtection="1">
      <alignment vertical="center"/>
      <protection locked="0"/>
    </xf>
    <xf numFmtId="2" fontId="2" fillId="0" borderId="63" xfId="3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181" fontId="0" fillId="0" borderId="63" xfId="4" applyNumberFormat="1" applyFont="1" applyProtection="1">
      <alignment vertical="center"/>
      <protection locked="0"/>
    </xf>
    <xf numFmtId="0" fontId="35" fillId="0" borderId="63" xfId="6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85" fontId="0" fillId="0" borderId="0" xfId="0" applyNumberFormat="1" applyAlignment="1" applyProtection="1">
      <alignment horizontal="center" vertical="center"/>
      <protection locked="0"/>
    </xf>
    <xf numFmtId="0" fontId="1" fillId="0" borderId="63" xfId="3" applyFont="1" applyAlignment="1" applyProtection="1">
      <alignment horizontal="right" vertical="center"/>
      <protection locked="0"/>
    </xf>
    <xf numFmtId="181" fontId="0" fillId="0" borderId="63" xfId="4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181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83" fontId="0" fillId="0" borderId="0" xfId="0" applyNumberForma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right" vertical="center"/>
    </xf>
    <xf numFmtId="183" fontId="0" fillId="10" borderId="0" xfId="0" applyNumberFormat="1" applyFill="1" applyAlignment="1" applyProtection="1">
      <alignment vertical="center"/>
    </xf>
    <xf numFmtId="181" fontId="0" fillId="10" borderId="0" xfId="0" applyNumberFormat="1" applyFill="1" applyAlignment="1" applyProtection="1">
      <alignment vertical="center"/>
    </xf>
    <xf numFmtId="10" fontId="0" fillId="10" borderId="0" xfId="0" applyNumberFormat="1" applyFill="1" applyAlignment="1" applyProtection="1">
      <alignment horizontal="right" vertical="center"/>
    </xf>
    <xf numFmtId="183" fontId="0" fillId="10" borderId="0" xfId="0" applyNumberFormat="1" applyFill="1" applyAlignment="1" applyProtection="1">
      <alignment horizontal="right" vertical="center"/>
    </xf>
    <xf numFmtId="0" fontId="36" fillId="10" borderId="0" xfId="0" applyFont="1" applyFill="1" applyAlignment="1" applyProtection="1">
      <alignment horizontal="right"/>
    </xf>
    <xf numFmtId="0" fontId="37" fillId="10" borderId="0" xfId="0" applyFont="1" applyFill="1" applyAlignment="1" applyProtection="1">
      <alignment horizontal="left" vertical="center"/>
    </xf>
    <xf numFmtId="0" fontId="5" fillId="10" borderId="75" xfId="0" applyFont="1" applyFill="1" applyBorder="1" applyAlignment="1" applyProtection="1">
      <alignment horizontal="center" vertical="center"/>
    </xf>
    <xf numFmtId="181" fontId="0" fillId="10" borderId="0" xfId="0" applyNumberFormat="1" applyFill="1" applyAlignment="1" applyProtection="1">
      <alignment horizontal="right" vertical="center"/>
    </xf>
    <xf numFmtId="0" fontId="5" fillId="10" borderId="76" xfId="0" applyFont="1" applyFill="1" applyBorder="1" applyAlignment="1" applyProtection="1">
      <alignment horizontal="center" vertical="center"/>
    </xf>
    <xf numFmtId="0" fontId="0" fillId="10" borderId="0" xfId="0" applyFill="1" applyAlignment="1" applyProtection="1">
      <alignment horizontal="left" vertical="center"/>
    </xf>
    <xf numFmtId="0" fontId="0" fillId="10" borderId="77" xfId="0" applyFill="1" applyBorder="1" applyAlignment="1" applyProtection="1">
      <alignment horizontal="center" vertical="center"/>
    </xf>
    <xf numFmtId="186" fontId="0" fillId="10" borderId="0" xfId="0" applyNumberFormat="1" applyFill="1" applyAlignment="1" applyProtection="1">
      <alignment vertical="center"/>
    </xf>
    <xf numFmtId="0" fontId="2" fillId="10" borderId="75" xfId="3" applyFill="1" applyBorder="1" applyAlignment="1" applyProtection="1">
      <alignment horizontal="center" vertical="center"/>
    </xf>
    <xf numFmtId="0" fontId="0" fillId="10" borderId="76" xfId="0" applyFill="1" applyBorder="1" applyAlignment="1" applyProtection="1">
      <alignment horizontal="center" vertical="center"/>
    </xf>
    <xf numFmtId="0" fontId="2" fillId="0" borderId="63" xfId="2" applyNumberFormat="1" applyFont="1" applyBorder="1" applyAlignment="1" applyProtection="1">
      <alignment vertical="center"/>
    </xf>
    <xf numFmtId="195" fontId="2" fillId="0" borderId="63" xfId="2" applyNumberFormat="1" applyFont="1" applyBorder="1" applyAlignment="1" applyProtection="1">
      <alignment vertical="center"/>
    </xf>
    <xf numFmtId="0" fontId="2" fillId="0" borderId="63" xfId="3" applyProtection="1">
      <alignment vertical="center"/>
    </xf>
    <xf numFmtId="2" fontId="2" fillId="0" borderId="63" xfId="3" applyNumberFormat="1" applyProtection="1">
      <alignment vertical="center"/>
    </xf>
    <xf numFmtId="0" fontId="2" fillId="0" borderId="63" xfId="2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95" fontId="2" fillId="0" borderId="63" xfId="2" applyNumberFormat="1" applyFont="1" applyBorder="1" applyAlignment="1" applyProtection="1">
      <alignment horizontal="center" vertical="center"/>
      <protection locked="0"/>
    </xf>
    <xf numFmtId="185" fontId="0" fillId="10" borderId="0" xfId="0" applyNumberFormat="1" applyFill="1" applyAlignment="1" applyProtection="1">
      <alignment vertical="center"/>
    </xf>
    <xf numFmtId="183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right" vertical="center"/>
      <protection locked="0"/>
    </xf>
    <xf numFmtId="181" fontId="0" fillId="0" borderId="0" xfId="0" applyNumberFormat="1" applyAlignment="1" applyProtection="1">
      <alignment horizontal="right" vertical="center"/>
      <protection locked="0"/>
    </xf>
    <xf numFmtId="18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86" fontId="0" fillId="0" borderId="0" xfId="0" applyNumberFormat="1" applyAlignment="1" applyProtection="1">
      <alignment vertical="center"/>
      <protection locked="0"/>
    </xf>
    <xf numFmtId="10" fontId="0" fillId="0" borderId="0" xfId="0" applyNumberFormat="1" applyAlignment="1" applyProtection="1">
      <alignment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85" fontId="10" fillId="0" borderId="25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81" fontId="10" fillId="0" borderId="25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181" fontId="10" fillId="0" borderId="3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82" fontId="10" fillId="0" borderId="25" xfId="0" applyNumberFormat="1" applyFont="1" applyBorder="1" applyAlignment="1">
      <alignment horizontal="center" vertical="center"/>
    </xf>
    <xf numFmtId="181" fontId="10" fillId="4" borderId="25" xfId="0" applyNumberFormat="1" applyFont="1" applyFill="1" applyBorder="1" applyAlignment="1">
      <alignment horizontal="center" vertical="center"/>
    </xf>
    <xf numFmtId="181" fontId="10" fillId="4" borderId="31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center" vertical="center"/>
    </xf>
    <xf numFmtId="182" fontId="10" fillId="4" borderId="25" xfId="0" applyNumberFormat="1" applyFont="1" applyFill="1" applyBorder="1" applyAlignment="1">
      <alignment horizontal="center" vertical="center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181" fontId="11" fillId="0" borderId="25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9" fillId="0" borderId="91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23" fillId="0" borderId="50" xfId="0" applyFont="1" applyBorder="1" applyAlignment="1">
      <alignment vertical="center"/>
    </xf>
    <xf numFmtId="182" fontId="10" fillId="0" borderId="67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77" fontId="10" fillId="0" borderId="7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10" fillId="0" borderId="74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vertical="center"/>
    </xf>
    <xf numFmtId="0" fontId="23" fillId="0" borderId="83" xfId="0" applyFont="1" applyBorder="1" applyAlignment="1">
      <alignment vertical="center"/>
    </xf>
    <xf numFmtId="178" fontId="10" fillId="0" borderId="7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23" fillId="0" borderId="84" xfId="0" applyFont="1" applyBorder="1" applyAlignment="1">
      <alignment vertical="center"/>
    </xf>
    <xf numFmtId="189" fontId="10" fillId="0" borderId="74" xfId="0" applyNumberFormat="1" applyFont="1" applyBorder="1" applyAlignment="1">
      <alignment horizontal="center" vertical="center"/>
    </xf>
    <xf numFmtId="190" fontId="10" fillId="0" borderId="74" xfId="0" applyNumberFormat="1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/>
    </xf>
    <xf numFmtId="180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182" fontId="10" fillId="0" borderId="7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9" fontId="10" fillId="0" borderId="74" xfId="0" applyNumberFormat="1" applyFont="1" applyBorder="1" applyAlignment="1">
      <alignment horizontal="center" vertical="center"/>
    </xf>
    <xf numFmtId="178" fontId="10" fillId="0" borderId="74" xfId="0" applyNumberFormat="1" applyFont="1" applyBorder="1" applyAlignment="1">
      <alignment horizontal="center" vertical="center" wrapText="1"/>
    </xf>
    <xf numFmtId="185" fontId="10" fillId="0" borderId="74" xfId="0" applyNumberFormat="1" applyFont="1" applyBorder="1" applyAlignment="1">
      <alignment horizontal="center" vertical="center"/>
    </xf>
    <xf numFmtId="185" fontId="23" fillId="0" borderId="74" xfId="0" applyNumberFormat="1" applyFont="1" applyBorder="1" applyAlignment="1">
      <alignment horizontal="center" vertical="center"/>
    </xf>
    <xf numFmtId="183" fontId="10" fillId="0" borderId="74" xfId="0" applyNumberFormat="1" applyFont="1" applyBorder="1" applyAlignment="1">
      <alignment horizontal="center" vertical="center"/>
    </xf>
    <xf numFmtId="49" fontId="13" fillId="0" borderId="101" xfId="0" applyNumberFormat="1" applyFont="1" applyBorder="1" applyAlignment="1">
      <alignment horizontal="center" vertical="center"/>
    </xf>
    <xf numFmtId="0" fontId="5" fillId="0" borderId="102" xfId="0" applyFont="1" applyBorder="1" applyAlignment="1">
      <alignment vertical="center"/>
    </xf>
    <xf numFmtId="0" fontId="5" fillId="0" borderId="103" xfId="0" applyFont="1" applyBorder="1" applyAlignment="1">
      <alignment vertical="center"/>
    </xf>
    <xf numFmtId="2" fontId="10" fillId="0" borderId="74" xfId="0" applyNumberFormat="1" applyFont="1" applyBorder="1" applyAlignment="1">
      <alignment horizontal="center" vertical="center"/>
    </xf>
    <xf numFmtId="9" fontId="10" fillId="0" borderId="74" xfId="0" applyNumberFormat="1" applyFont="1" applyBorder="1" applyAlignment="1">
      <alignment horizontal="center" vertical="center" wrapText="1"/>
    </xf>
    <xf numFmtId="0" fontId="5" fillId="0" borderId="78" xfId="0" applyFont="1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right" vertical="center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5" fillId="0" borderId="114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12" fillId="0" borderId="6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92" fontId="12" fillId="0" borderId="6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93" fontId="12" fillId="0" borderId="66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</cellXfs>
  <cellStyles count="7">
    <cellStyle name="一般" xfId="0" builtinId="0"/>
    <cellStyle name="一般 2" xfId="1" xr:uid="{00000000-0005-0000-0000-000001000000}"/>
    <cellStyle name="一般 2 2" xfId="6" xr:uid="{00000000-0005-0000-0000-000002000000}"/>
    <cellStyle name="一般 2 3" xfId="3" xr:uid="{00000000-0005-0000-0000-000003000000}"/>
    <cellStyle name="一般 3" xfId="5" xr:uid="{00000000-0005-0000-0000-000004000000}"/>
    <cellStyle name="百分比" xfId="2" builtinId="5"/>
    <cellStyle name="百分比 3 2" xfId="4" xr:uid="{00000000-0005-0000-0000-000006000000}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標楷體"/>
              </a:defRPr>
            </a:pPr>
            <a:r>
              <a:rPr lang="zh-TW" altLang="en-US" sz="1600" b="1" i="0">
                <a:solidFill>
                  <a:schemeClr val="tx1"/>
                </a:solidFill>
                <a:latin typeface="標楷體"/>
              </a:rPr>
              <a:t>冰機阻抗曲線</a:t>
            </a:r>
          </a:p>
        </c:rich>
      </c:tx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563565363642183"/>
          <c:y val="0.14578839862676304"/>
          <c:w val="0.59593158394003409"/>
          <c:h val="0.7270155809579244"/>
        </c:manualLayout>
      </c:layout>
      <c:scatterChart>
        <c:scatterStyle val="smoothMarker"/>
        <c:varyColors val="0"/>
        <c:ser>
          <c:idx val="0"/>
          <c:order val="0"/>
          <c:tx>
            <c:v>冰水阻抗曲線</c:v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74-438F-8F64-288E29EC65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74-438F-8F64-288E29EC65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74-438F-8F64-288E29EC65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74-438F-8F64-288E29EC65FA}"/>
              </c:ext>
            </c:extLst>
          </c:dPt>
          <c:xVal>
            <c:numRef>
              <c:f>'冰水阻抗曲線圖 (2)'!$B$8:$B$16</c:f>
              <c:numCache>
                <c:formatCode>0.00_);[Red]\(0.00\)</c:formatCode>
                <c:ptCount val="9"/>
                <c:pt idx="0">
                  <c:v>1222.3582786494867</c:v>
                </c:pt>
                <c:pt idx="1">
                  <c:v>1069.5634938183009</c:v>
                </c:pt>
                <c:pt idx="2">
                  <c:v>916.76870898711502</c:v>
                </c:pt>
                <c:pt idx="3">
                  <c:v>763.97392415592913</c:v>
                </c:pt>
                <c:pt idx="4">
                  <c:v>611.17913932474335</c:v>
                </c:pt>
                <c:pt idx="5">
                  <c:v>458.38435449355751</c:v>
                </c:pt>
                <c:pt idx="6">
                  <c:v>305.58956966237167</c:v>
                </c:pt>
                <c:pt idx="7">
                  <c:v>152.79478483118584</c:v>
                </c:pt>
                <c:pt idx="8">
                  <c:v>0</c:v>
                </c:pt>
              </c:numCache>
            </c:numRef>
          </c:xVal>
          <c:yVal>
            <c:numRef>
              <c:f>'冰水阻抗曲線圖 (2)'!$D$8:$D$16</c:f>
              <c:numCache>
                <c:formatCode>0.00</c:formatCode>
                <c:ptCount val="9"/>
                <c:pt idx="0">
                  <c:v>31.279365000000013</c:v>
                </c:pt>
                <c:pt idx="1">
                  <c:v>23.948263828125008</c:v>
                </c:pt>
                <c:pt idx="2">
                  <c:v>17.594642812500005</c:v>
                </c:pt>
                <c:pt idx="3">
                  <c:v>12.218501953125001</c:v>
                </c:pt>
                <c:pt idx="4">
                  <c:v>7.8198412500000032</c:v>
                </c:pt>
                <c:pt idx="5">
                  <c:v>4.3986607031250013</c:v>
                </c:pt>
                <c:pt idx="6">
                  <c:v>1.9549603125000008</c:v>
                </c:pt>
                <c:pt idx="7">
                  <c:v>0.4887400781250002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974-438F-8F64-288E29EC65FA}"/>
            </c:ext>
          </c:extLst>
        </c:ser>
        <c:ser>
          <c:idx val="2"/>
          <c:order val="2"/>
          <c:tx>
            <c:v>新冰機曲線</c:v>
          </c:tx>
          <c:marker>
            <c:symbol val="none"/>
          </c:marker>
          <c:xVal>
            <c:numRef>
              <c:f>'冰水阻抗曲線圖 (2)'!$B$24:$B$32</c:f>
              <c:numCache>
                <c:formatCode>General</c:formatCode>
                <c:ptCount val="9"/>
                <c:pt idx="0">
                  <c:v>1200</c:v>
                </c:pt>
                <c:pt idx="1">
                  <c:v>1050</c:v>
                </c:pt>
                <c:pt idx="2">
                  <c:v>900</c:v>
                </c:pt>
                <c:pt idx="3">
                  <c:v>750</c:v>
                </c:pt>
                <c:pt idx="4">
                  <c:v>600</c:v>
                </c:pt>
                <c:pt idx="5">
                  <c:v>450</c:v>
                </c:pt>
                <c:pt idx="6">
                  <c:v>300</c:v>
                </c:pt>
                <c:pt idx="7">
                  <c:v>150</c:v>
                </c:pt>
                <c:pt idx="8">
                  <c:v>0</c:v>
                </c:pt>
              </c:numCache>
            </c:numRef>
          </c:xVal>
          <c:yVal>
            <c:numRef>
              <c:f>'冰水阻抗曲線圖 (2)'!$D$24:$D$32</c:f>
              <c:numCache>
                <c:formatCode>General</c:formatCode>
                <c:ptCount val="9"/>
                <c:pt idx="0">
                  <c:v>16</c:v>
                </c:pt>
                <c:pt idx="1">
                  <c:v>12.25</c:v>
                </c:pt>
                <c:pt idx="2">
                  <c:v>9</c:v>
                </c:pt>
                <c:pt idx="3">
                  <c:v>6.25</c:v>
                </c:pt>
                <c:pt idx="4">
                  <c:v>4</c:v>
                </c:pt>
                <c:pt idx="5">
                  <c:v>2.25</c:v>
                </c:pt>
                <c:pt idx="6">
                  <c:v>1</c:v>
                </c:pt>
                <c:pt idx="7">
                  <c:v>0.25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2A0-476A-9593-1F4A04257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95584"/>
        <c:axId val="94997888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triangle"/>
            <c:size val="8"/>
          </c:marker>
          <c:dPt>
            <c:idx val="0"/>
            <c:marker>
              <c:symbol val="triang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9-2974-438F-8F64-288E29EC65FA}"/>
              </c:ext>
            </c:extLst>
          </c:dPt>
          <c:dPt>
            <c:idx val="1"/>
            <c:marker>
              <c:symbol val="squar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7-2974-438F-8F64-288E29EC65FA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6-2974-438F-8F64-288E29EC65FA}"/>
              </c:ext>
            </c:extLst>
          </c:dPt>
          <c:dPt>
            <c:idx val="3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8-2974-438F-8F64-288E29EC65FA}"/>
              </c:ext>
            </c:extLst>
          </c:dPt>
          <c:xVal>
            <c:numRef>
              <c:f>'冰水阻抗曲線圖 (2)'!$B$4:$B$7</c:f>
              <c:numCache>
                <c:formatCode>0.00_);[Red]\(0.00\)</c:formatCode>
                <c:ptCount val="4"/>
                <c:pt idx="0">
                  <c:v>1044.7506655123816</c:v>
                </c:pt>
                <c:pt idx="1">
                  <c:v>1222.3582786494867</c:v>
                </c:pt>
                <c:pt idx="2">
                  <c:v>1222.3582786494867</c:v>
                </c:pt>
                <c:pt idx="3">
                  <c:v>1200</c:v>
                </c:pt>
              </c:numCache>
            </c:numRef>
          </c:xVal>
          <c:yVal>
            <c:numRef>
              <c:f>'冰水阻抗曲線圖 (2)'!$D$4:$D$7</c:f>
              <c:numCache>
                <c:formatCode>0.00</c:formatCode>
                <c:ptCount val="4"/>
                <c:pt idx="0">
                  <c:v>22.85</c:v>
                </c:pt>
                <c:pt idx="1">
                  <c:v>31.279365000000013</c:v>
                </c:pt>
                <c:pt idx="2">
                  <c:v>31.279365000000013</c:v>
                </c:pt>
                <c:pt idx="3">
                  <c:v>30.145561916558794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74-438F-8F64-288E29EC65FA}"/>
            </c:ext>
          </c:extLst>
        </c:ser>
        <c:ser>
          <c:idx val="3"/>
          <c:order val="3"/>
          <c:tx>
            <c:v>全新系統</c:v>
          </c:tx>
          <c:spPr>
            <a:ln w="19050">
              <a:noFill/>
            </a:ln>
          </c:spPr>
          <c:marker>
            <c:symbol val="plus"/>
            <c:size val="10"/>
            <c:spPr>
              <a:ln w="38100"/>
            </c:spPr>
          </c:marker>
          <c:xVal>
            <c:numRef>
              <c:f>'冰水阻抗曲線圖 (2)'!$B$24</c:f>
              <c:numCache>
                <c:formatCode>General</c:formatCode>
                <c:ptCount val="1"/>
                <c:pt idx="0">
                  <c:v>1200</c:v>
                </c:pt>
              </c:numCache>
            </c:numRef>
          </c:xVal>
          <c:yVal>
            <c:numRef>
              <c:f>'冰水阻抗曲線圖 (2)'!$D$24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2A0-476A-9593-1F4A04257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95584"/>
        <c:axId val="94997888"/>
      </c:scatterChart>
      <c:valAx>
        <c:axId val="949955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4997888"/>
        <c:crosses val="autoZero"/>
        <c:crossBetween val="midCat"/>
      </c:valAx>
      <c:valAx>
        <c:axId val="94997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4995584"/>
        <c:crosses val="autoZero"/>
        <c:crossBetween val="midCat"/>
      </c:valAx>
      <c:spPr>
        <a:noFill/>
      </c:spPr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標楷體"/>
              </a:defRPr>
            </a:pPr>
            <a:r>
              <a:rPr lang="zh-TW" altLang="en-US" sz="1400" b="1" i="0">
                <a:solidFill>
                  <a:sysClr val="windowText" lastClr="000000"/>
                </a:solidFill>
                <a:latin typeface="標楷體"/>
              </a:rPr>
              <a:t>冰機阻抗曲線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75497539551742"/>
          <c:y val="0.12185007974481658"/>
          <c:w val="0.55053036975029279"/>
          <c:h val="0.72023408557183943"/>
        </c:manualLayout>
      </c:layout>
      <c:scatterChart>
        <c:scatterStyle val="lineMarker"/>
        <c:varyColors val="0"/>
        <c:ser>
          <c:idx val="0"/>
          <c:order val="0"/>
          <c:tx>
            <c:v>冰水阻抗曲線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EA-47B0-9ECD-AC8917A7B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EA-47B0-9ECD-AC8917A7BA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EA-47B0-9ECD-AC8917A7BA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EA-47B0-9ECD-AC8917A7BA87}"/>
              </c:ext>
            </c:extLst>
          </c:dPt>
          <c:xVal>
            <c:numRef>
              <c:f>冰水阻抗曲線圖!$C$8:$C$19</c:f>
              <c:numCache>
                <c:formatCode>0.00_);[Red]\(0.00\)</c:formatCode>
                <c:ptCount val="12"/>
                <c:pt idx="0">
                  <c:v>1044.7506655123816</c:v>
                </c:pt>
                <c:pt idx="1">
                  <c:v>1044.7506655123816</c:v>
                </c:pt>
                <c:pt idx="2">
                  <c:v>1200</c:v>
                </c:pt>
                <c:pt idx="3">
                  <c:v>1222.3582786494867</c:v>
                </c:pt>
                <c:pt idx="4" formatCode="General">
                  <c:v>1050</c:v>
                </c:pt>
                <c:pt idx="5" formatCode="General">
                  <c:v>900</c:v>
                </c:pt>
                <c:pt idx="6" formatCode="General">
                  <c:v>750</c:v>
                </c:pt>
                <c:pt idx="7" formatCode="General">
                  <c:v>600</c:v>
                </c:pt>
                <c:pt idx="8" formatCode="General">
                  <c:v>450</c:v>
                </c:pt>
                <c:pt idx="9" formatCode="General">
                  <c:v>300</c:v>
                </c:pt>
                <c:pt idx="10" formatCode="General">
                  <c:v>150</c:v>
                </c:pt>
                <c:pt idx="11" formatCode="General">
                  <c:v>0</c:v>
                </c:pt>
              </c:numCache>
            </c:numRef>
          </c:xVal>
          <c:yVal>
            <c:numRef>
              <c:f>冰水阻抗曲線圖!$D$8:$D$19</c:f>
              <c:numCache>
                <c:formatCode>0.00_);[Red]\(0.00\)</c:formatCode>
                <c:ptCount val="12"/>
                <c:pt idx="0">
                  <c:v>22.85</c:v>
                </c:pt>
                <c:pt idx="1">
                  <c:v>22.85</c:v>
                </c:pt>
                <c:pt idx="2">
                  <c:v>30.145561916558794</c:v>
                </c:pt>
                <c:pt idx="3">
                  <c:v>31.279365000000013</c:v>
                </c:pt>
                <c:pt idx="4">
                  <c:v>23.080195842365324</c:v>
                </c:pt>
                <c:pt idx="5">
                  <c:v>16.95687857806432</c:v>
                </c:pt>
                <c:pt idx="6">
                  <c:v>11.775610123655778</c:v>
                </c:pt>
                <c:pt idx="7">
                  <c:v>7.5363904791396985</c:v>
                </c:pt>
                <c:pt idx="8">
                  <c:v>4.2392196445160799</c:v>
                </c:pt>
                <c:pt idx="9">
                  <c:v>1.8840976197849246</c:v>
                </c:pt>
                <c:pt idx="10">
                  <c:v>0.47102440494623116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EA-47B0-9ECD-AC8917A7BA87}"/>
            </c:ext>
          </c:extLst>
        </c:ser>
        <c:ser>
          <c:idx val="1"/>
          <c:order val="1"/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2"/>
              </a:solidFill>
            </c:spPr>
          </c:marker>
          <c:dPt>
            <c:idx val="0"/>
            <c:marker>
              <c:symbol val="diamond"/>
              <c:size val="15"/>
            </c:marker>
            <c:bubble3D val="0"/>
            <c:extLst>
              <c:ext xmlns:c16="http://schemas.microsoft.com/office/drawing/2014/chart" uri="{C3380CC4-5D6E-409C-BE32-E72D297353CC}">
                <c16:uniqueId val="{00000005-95F0-4A10-BCD5-6950F315AE3F}"/>
              </c:ext>
            </c:extLst>
          </c:dPt>
          <c:dPt>
            <c:idx val="2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7-95F0-4A10-BCD5-6950F315AE3F}"/>
              </c:ext>
            </c:extLst>
          </c:dPt>
          <c:dPt>
            <c:idx val="3"/>
            <c:marker>
              <c:symbol val="x"/>
              <c:size val="11"/>
            </c:marker>
            <c:bubble3D val="0"/>
            <c:extLst>
              <c:ext xmlns:c16="http://schemas.microsoft.com/office/drawing/2014/chart" uri="{C3380CC4-5D6E-409C-BE32-E72D297353CC}">
                <c16:uniqueId val="{00000008-95F0-4A10-BCD5-6950F315AE3F}"/>
              </c:ext>
            </c:extLst>
          </c:dPt>
          <c:xVal>
            <c:numRef>
              <c:f>冰水阻抗曲線圖!$C$8:$C$11</c:f>
              <c:numCache>
                <c:formatCode>0.00_);[Red]\(0.00\)</c:formatCode>
                <c:ptCount val="4"/>
                <c:pt idx="0">
                  <c:v>1044.7506655123816</c:v>
                </c:pt>
                <c:pt idx="1">
                  <c:v>1044.7506655123816</c:v>
                </c:pt>
                <c:pt idx="2">
                  <c:v>1200</c:v>
                </c:pt>
                <c:pt idx="3">
                  <c:v>1222.3582786494867</c:v>
                </c:pt>
              </c:numCache>
            </c:numRef>
          </c:xVal>
          <c:yVal>
            <c:numRef>
              <c:f>冰水阻抗曲線圖!$D$8:$D$11</c:f>
              <c:numCache>
                <c:formatCode>0.00_);[Red]\(0.00\)</c:formatCode>
                <c:ptCount val="4"/>
                <c:pt idx="0">
                  <c:v>22.85</c:v>
                </c:pt>
                <c:pt idx="1">
                  <c:v>22.85</c:v>
                </c:pt>
                <c:pt idx="2">
                  <c:v>30.145561916558794</c:v>
                </c:pt>
                <c:pt idx="3">
                  <c:v>31.279365000000013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F0-4A10-BCD5-6950F315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51168"/>
        <c:axId val="100953472"/>
      </c:scatterChart>
      <c:valAx>
        <c:axId val="10095116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100953472"/>
        <c:crosses val="autoZero"/>
        <c:crossBetween val="midCat"/>
      </c:valAx>
      <c:valAx>
        <c:axId val="100953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100951168"/>
        <c:crosses val="autoZero"/>
        <c:crossBetween val="midCat"/>
      </c:valAx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標楷體"/>
              </a:defRPr>
            </a:pPr>
            <a:r>
              <a:rPr lang="zh-TW" altLang="en-US" sz="1600" b="1" i="0">
                <a:solidFill>
                  <a:schemeClr val="tx1"/>
                </a:solidFill>
                <a:latin typeface="標楷體"/>
              </a:rPr>
              <a:t>冷卻水循環阻抗曲線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02708294340532"/>
          <c:y val="0.14305054783963089"/>
          <c:w val="0.59990147739212174"/>
          <c:h val="0.73249128253218865"/>
        </c:manualLayout>
      </c:layout>
      <c:scatterChart>
        <c:scatterStyle val="smoothMarker"/>
        <c:varyColors val="0"/>
        <c:ser>
          <c:idx val="0"/>
          <c:order val="0"/>
          <c:tx>
            <c:v>冷卻水循環阻抗曲線</c:v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E8-4F1C-8138-F658C28F88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E8-4F1C-8138-F658C28F88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E8-4F1C-8138-F658C28F88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E8-4F1C-8138-F658C28F88C6}"/>
              </c:ext>
            </c:extLst>
          </c:dPt>
          <c:xVal>
            <c:numRef>
              <c:f>'冷卻水阻抗曲線圖(2)'!$B$8:$B$16</c:f>
              <c:numCache>
                <c:formatCode>0.00_);[Red]\(0.00\)</c:formatCode>
                <c:ptCount val="9"/>
                <c:pt idx="0">
                  <c:v>1629.940160975319</c:v>
                </c:pt>
                <c:pt idx="1">
                  <c:v>1426.1976408534042</c:v>
                </c:pt>
                <c:pt idx="2">
                  <c:v>1222.4551207314894</c:v>
                </c:pt>
                <c:pt idx="3">
                  <c:v>1018.7126006095743</c:v>
                </c:pt>
                <c:pt idx="4">
                  <c:v>814.97008048765952</c:v>
                </c:pt>
                <c:pt idx="5">
                  <c:v>611.22756036574469</c:v>
                </c:pt>
                <c:pt idx="6">
                  <c:v>407.48504024382976</c:v>
                </c:pt>
                <c:pt idx="7">
                  <c:v>203.74252012191488</c:v>
                </c:pt>
                <c:pt idx="8">
                  <c:v>0</c:v>
                </c:pt>
              </c:numCache>
            </c:numRef>
          </c:xVal>
          <c:yVal>
            <c:numRef>
              <c:f>'冷卻水阻抗曲線圖(2)'!$D$8:$D$16</c:f>
              <c:numCache>
                <c:formatCode>0.00</c:formatCode>
                <c:ptCount val="9"/>
                <c:pt idx="0">
                  <c:v>14.55</c:v>
                </c:pt>
                <c:pt idx="1">
                  <c:v>11.749218750000001</c:v>
                </c:pt>
                <c:pt idx="2">
                  <c:v>9.3218750000000021</c:v>
                </c:pt>
                <c:pt idx="3">
                  <c:v>7.2679687499999996</c:v>
                </c:pt>
                <c:pt idx="4">
                  <c:v>5.5875000000000004</c:v>
                </c:pt>
                <c:pt idx="5">
                  <c:v>4.2804687500000007</c:v>
                </c:pt>
                <c:pt idx="6">
                  <c:v>3.3468750000000003</c:v>
                </c:pt>
                <c:pt idx="7">
                  <c:v>2.7867187499999999</c:v>
                </c:pt>
                <c:pt idx="8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3E8-4F1C-8138-F658C28F88C6}"/>
            </c:ext>
          </c:extLst>
        </c:ser>
        <c:ser>
          <c:idx val="2"/>
          <c:order val="2"/>
          <c:tx>
            <c:v>全新系統</c:v>
          </c:tx>
          <c:marker>
            <c:symbol val="none"/>
          </c:marker>
          <c:xVal>
            <c:numRef>
              <c:f>'冷卻水阻抗曲線圖(2)'!$B$24:$B$32</c:f>
              <c:numCache>
                <c:formatCode>General</c:formatCode>
                <c:ptCount val="9"/>
                <c:pt idx="0">
                  <c:v>1500</c:v>
                </c:pt>
                <c:pt idx="1">
                  <c:v>1312.5</c:v>
                </c:pt>
                <c:pt idx="2">
                  <c:v>1125</c:v>
                </c:pt>
                <c:pt idx="3">
                  <c:v>937.5</c:v>
                </c:pt>
                <c:pt idx="4">
                  <c:v>750</c:v>
                </c:pt>
                <c:pt idx="5">
                  <c:v>562.5</c:v>
                </c:pt>
                <c:pt idx="6">
                  <c:v>375</c:v>
                </c:pt>
                <c:pt idx="7">
                  <c:v>187.5</c:v>
                </c:pt>
                <c:pt idx="8">
                  <c:v>0</c:v>
                </c:pt>
              </c:numCache>
            </c:numRef>
          </c:xVal>
          <c:yVal>
            <c:numRef>
              <c:f>'冷卻水阻抗曲線圖(2)'!$D$24:$D$32</c:f>
              <c:numCache>
                <c:formatCode>General</c:formatCode>
                <c:ptCount val="9"/>
                <c:pt idx="0">
                  <c:v>9</c:v>
                </c:pt>
                <c:pt idx="1">
                  <c:v>7.5</c:v>
                </c:pt>
                <c:pt idx="2">
                  <c:v>6.2</c:v>
                </c:pt>
                <c:pt idx="3">
                  <c:v>5.0999999999999996</c:v>
                </c:pt>
                <c:pt idx="4">
                  <c:v>4.2</c:v>
                </c:pt>
                <c:pt idx="5">
                  <c:v>3.5</c:v>
                </c:pt>
                <c:pt idx="6">
                  <c:v>3</c:v>
                </c:pt>
                <c:pt idx="7">
                  <c:v>2.7</c:v>
                </c:pt>
                <c:pt idx="8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4D4-47EE-923D-CB89E44A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38528"/>
        <c:axId val="98445184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triangle"/>
            <c:size val="8"/>
          </c:marker>
          <c:dPt>
            <c:idx val="0"/>
            <c:marker>
              <c:symbol val="triang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5-43E8-4F1C-8138-F658C28F88C6}"/>
              </c:ext>
            </c:extLst>
          </c:dPt>
          <c:dPt>
            <c:idx val="1"/>
            <c:marker>
              <c:symbol val="squar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6-43E8-4F1C-8138-F658C28F88C6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7-43E8-4F1C-8138-F658C28F88C6}"/>
              </c:ext>
            </c:extLst>
          </c:dPt>
          <c:dPt>
            <c:idx val="3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8-43E8-4F1C-8138-F658C28F88C6}"/>
              </c:ext>
            </c:extLst>
          </c:dPt>
          <c:xVal>
            <c:numRef>
              <c:f>'冷卻水阻抗曲線圖(2)'!$B$4:$B$7</c:f>
              <c:numCache>
                <c:formatCode>0.00_);[Red]\(0.00\)</c:formatCode>
                <c:ptCount val="4"/>
                <c:pt idx="0">
                  <c:v>1629.940160975319</c:v>
                </c:pt>
                <c:pt idx="1">
                  <c:v>1499.5449480972941</c:v>
                </c:pt>
                <c:pt idx="2">
                  <c:v>1499.5449480972941</c:v>
                </c:pt>
                <c:pt idx="3">
                  <c:v>1500</c:v>
                </c:pt>
              </c:numCache>
            </c:numRef>
          </c:xVal>
          <c:yVal>
            <c:numRef>
              <c:f>'冷卻水阻抗曲線圖(2)'!$D$4:$D$7</c:f>
              <c:numCache>
                <c:formatCode>0.00</c:formatCode>
                <c:ptCount val="4"/>
                <c:pt idx="0">
                  <c:v>14.55</c:v>
                </c:pt>
                <c:pt idx="1">
                  <c:v>12.714480000000007</c:v>
                </c:pt>
                <c:pt idx="2">
                  <c:v>12.714480000000007</c:v>
                </c:pt>
                <c:pt idx="3">
                  <c:v>12.720619611525807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E8-4F1C-8138-F658C28F88C6}"/>
            </c:ext>
          </c:extLst>
        </c:ser>
        <c:ser>
          <c:idx val="3"/>
          <c:order val="3"/>
          <c:tx>
            <c:v>全新點</c:v>
          </c:tx>
          <c:spPr>
            <a:ln w="19050">
              <a:noFill/>
            </a:ln>
          </c:spPr>
          <c:marker>
            <c:symbol val="plus"/>
            <c:size val="10"/>
            <c:spPr>
              <a:ln w="31750"/>
            </c:spPr>
          </c:marker>
          <c:xVal>
            <c:numRef>
              <c:f>'冷卻水阻抗曲線圖(2)'!$B$24</c:f>
              <c:numCache>
                <c:formatCode>General</c:formatCode>
                <c:ptCount val="1"/>
                <c:pt idx="0">
                  <c:v>1500</c:v>
                </c:pt>
              </c:numCache>
            </c:numRef>
          </c:xVal>
          <c:yVal>
            <c:numRef>
              <c:f>'冷卻水阻抗曲線圖(2)'!$D$24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4D4-47EE-923D-CB89E44A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38528"/>
        <c:axId val="98445184"/>
      </c:scatterChart>
      <c:valAx>
        <c:axId val="984385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8445184"/>
        <c:crosses val="autoZero"/>
        <c:crossBetween val="midCat"/>
      </c:valAx>
      <c:valAx>
        <c:axId val="984451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8438528"/>
        <c:crosses val="autoZero"/>
        <c:crossBetween val="midCat"/>
      </c:valAx>
      <c:spPr>
        <a:noFill/>
      </c:spPr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標楷體"/>
              </a:defRPr>
            </a:pPr>
            <a:r>
              <a:rPr lang="zh-TW" altLang="en-US" sz="1400" b="1" i="0">
                <a:solidFill>
                  <a:sysClr val="windowText" lastClr="000000"/>
                </a:solidFill>
                <a:latin typeface="標楷體"/>
              </a:rPr>
              <a:t>冷卻水循環阻抗曲線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4936178463328"/>
          <c:y val="0.11056408729050714"/>
          <c:w val="0.60821750906307714"/>
          <c:h val="0.72261797062601218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6E-46D8-959C-31FFD39EBD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6E-46D8-959C-31FFD39EBD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6E-46D8-959C-31FFD39EBD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6E-46D8-959C-31FFD39EBDC5}"/>
              </c:ext>
            </c:extLst>
          </c:dPt>
          <c:xVal>
            <c:numRef>
              <c:f>冷卻水阻抗曲線圖!$C$9:$C$20</c:f>
              <c:numCache>
                <c:formatCode>0.00_);[Red]\(0.00\)</c:formatCode>
                <c:ptCount val="12"/>
                <c:pt idx="0">
                  <c:v>1629.940160975319</c:v>
                </c:pt>
                <c:pt idx="1">
                  <c:v>1500</c:v>
                </c:pt>
                <c:pt idx="2">
                  <c:v>1499.5449480972941</c:v>
                </c:pt>
                <c:pt idx="3">
                  <c:v>1454.8546842094502</c:v>
                </c:pt>
                <c:pt idx="4" formatCode="General">
                  <c:v>1400</c:v>
                </c:pt>
                <c:pt idx="5" formatCode="General">
                  <c:v>1200</c:v>
                </c:pt>
                <c:pt idx="6" formatCode="General">
                  <c:v>937.5</c:v>
                </c:pt>
                <c:pt idx="7" formatCode="General">
                  <c:v>750</c:v>
                </c:pt>
                <c:pt idx="8" formatCode="General">
                  <c:v>562.5</c:v>
                </c:pt>
                <c:pt idx="9" formatCode="General">
                  <c:v>375</c:v>
                </c:pt>
                <c:pt idx="10" formatCode="General">
                  <c:v>187.5</c:v>
                </c:pt>
                <c:pt idx="11" formatCode="General">
                  <c:v>0</c:v>
                </c:pt>
              </c:numCache>
            </c:numRef>
          </c:xVal>
          <c:yVal>
            <c:numRef>
              <c:f>冷卻水阻抗曲線圖!$D$9:$D$20</c:f>
              <c:numCache>
                <c:formatCode>0.00_);[Red]\(0.00\)</c:formatCode>
                <c:ptCount val="12"/>
                <c:pt idx="0">
                  <c:v>14.55</c:v>
                </c:pt>
                <c:pt idx="1">
                  <c:v>12.720619611525807</c:v>
                </c:pt>
                <c:pt idx="2">
                  <c:v>12.714480000000007</c:v>
                </c:pt>
                <c:pt idx="3">
                  <c:v>12.120589000449227</c:v>
                </c:pt>
                <c:pt idx="4">
                  <c:v>11.416184194929148</c:v>
                </c:pt>
                <c:pt idx="5">
                  <c:v>9.0771965513765167</c:v>
                </c:pt>
                <c:pt idx="6">
                  <c:v>6.5533670357522684</c:v>
                </c:pt>
                <c:pt idx="7">
                  <c:v>5.1301549028814524</c:v>
                </c:pt>
                <c:pt idx="8">
                  <c:v>4.0232121328708166</c:v>
                </c:pt>
                <c:pt idx="9">
                  <c:v>3.2325387257203628</c:v>
                </c:pt>
                <c:pt idx="10">
                  <c:v>2.7581346814300907</c:v>
                </c:pt>
                <c:pt idx="11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86E-46D8-959C-31FFD39EBDC5}"/>
            </c:ext>
          </c:extLst>
        </c:ser>
        <c:ser>
          <c:idx val="1"/>
          <c:order val="1"/>
          <c:spPr>
            <a:ln w="19050">
              <a:noFill/>
            </a:ln>
          </c:spPr>
          <c:dPt>
            <c:idx val="0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8-EE6D-4876-86D0-F127960F6669}"/>
              </c:ext>
            </c:extLst>
          </c:dPt>
          <c:dPt>
            <c:idx val="1"/>
            <c:marker>
              <c:symbol val="circl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7-EE6D-4876-86D0-F127960F6669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9-EE6D-4876-86D0-F127960F6669}"/>
              </c:ext>
            </c:extLst>
          </c:dPt>
          <c:dPt>
            <c:idx val="3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6-EE6D-4876-86D0-F127960F6669}"/>
              </c:ext>
            </c:extLst>
          </c:dPt>
          <c:xVal>
            <c:numRef>
              <c:f>冷卻水阻抗曲線圖!$C$9:$C$12</c:f>
              <c:numCache>
                <c:formatCode>0.00_);[Red]\(0.00\)</c:formatCode>
                <c:ptCount val="4"/>
                <c:pt idx="0">
                  <c:v>1629.940160975319</c:v>
                </c:pt>
                <c:pt idx="1">
                  <c:v>1500</c:v>
                </c:pt>
                <c:pt idx="2">
                  <c:v>1499.5449480972941</c:v>
                </c:pt>
                <c:pt idx="3">
                  <c:v>1454.8546842094502</c:v>
                </c:pt>
              </c:numCache>
            </c:numRef>
          </c:xVal>
          <c:yVal>
            <c:numRef>
              <c:f>冷卻水阻抗曲線圖!$D$9:$D$12</c:f>
              <c:numCache>
                <c:formatCode>0.00_);[Red]\(0.00\)</c:formatCode>
                <c:ptCount val="4"/>
                <c:pt idx="0">
                  <c:v>14.55</c:v>
                </c:pt>
                <c:pt idx="1">
                  <c:v>12.720619611525807</c:v>
                </c:pt>
                <c:pt idx="2">
                  <c:v>12.714480000000007</c:v>
                </c:pt>
                <c:pt idx="3">
                  <c:v>12.120589000449227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D-4876-86D0-F127960F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49600"/>
        <c:axId val="105851520"/>
      </c:scatterChart>
      <c:valAx>
        <c:axId val="1058496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05851520"/>
        <c:crosses val="autoZero"/>
        <c:crossBetween val="midCat"/>
        <c:majorUnit val="400"/>
      </c:valAx>
      <c:valAx>
        <c:axId val="1058515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05849600"/>
        <c:crosses val="autoZero"/>
        <c:crossBetween val="midCat"/>
      </c:valAx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5</xdr:row>
      <xdr:rowOff>47625</xdr:rowOff>
    </xdr:from>
    <xdr:ext cx="5810250" cy="657225"/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8616763" y="1369919"/>
          <a:ext cx="5810250" cy="657225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</xdr:spPr>
      </xdr:pic>
    </xdr:grpSp>
    <xdr:clientData fLocksWithSheet="0"/>
  </xdr:oneCellAnchor>
  <xdr:oneCellAnchor>
    <xdr:from>
      <xdr:col>8</xdr:col>
      <xdr:colOff>190500</xdr:colOff>
      <xdr:row>12</xdr:row>
      <xdr:rowOff>123825</xdr:rowOff>
    </xdr:from>
    <xdr:ext cx="6229350" cy="1104900"/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8740588" y="3171825"/>
          <a:ext cx="6229350" cy="1104900"/>
          <a:chOff x="2267856" y="21865033"/>
          <a:chExt cx="6569786" cy="922395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2267858" y="22007285"/>
            <a:ext cx="6513285" cy="344232"/>
          </a:xfrm>
          <a:prstGeom prst="rect">
            <a:avLst/>
          </a:prstGeom>
          <a:noFill/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2286003" y="21865033"/>
            <a:ext cx="6467928" cy="232966"/>
          </a:xfrm>
          <a:prstGeom prst="rect">
            <a:avLst/>
          </a:prstGeom>
          <a:noFill/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2276928" y="22330316"/>
            <a:ext cx="6431643" cy="230326"/>
          </a:xfrm>
          <a:prstGeom prst="rect">
            <a:avLst/>
          </a:prstGeom>
          <a:noFill/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2267856" y="22569714"/>
            <a:ext cx="6569786" cy="217714"/>
          </a:xfrm>
          <a:prstGeom prst="rect">
            <a:avLst/>
          </a:prstGeom>
          <a:noFill/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11</xdr:row>
      <xdr:rowOff>95250</xdr:rowOff>
    </xdr:from>
    <xdr:ext cx="5715000" cy="466725"/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9457267" y="2772833"/>
          <a:ext cx="5715000" cy="466725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</xdr:spPr>
      </xdr:pic>
    </xdr:grpSp>
    <xdr:clientData fLocksWithSheet="0"/>
  </xdr:oneCellAnchor>
  <xdr:oneCellAnchor>
    <xdr:from>
      <xdr:col>10</xdr:col>
      <xdr:colOff>419100</xdr:colOff>
      <xdr:row>15</xdr:row>
      <xdr:rowOff>158750</xdr:rowOff>
    </xdr:from>
    <xdr:ext cx="6181725" cy="742950"/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0134600" y="3810000"/>
          <a:ext cx="6181725" cy="742950"/>
          <a:chOff x="2231571" y="30153428"/>
          <a:chExt cx="6549571" cy="988786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2267857" y="30313823"/>
            <a:ext cx="6513285" cy="344232"/>
          </a:xfrm>
          <a:prstGeom prst="rect">
            <a:avLst/>
          </a:prstGeom>
          <a:noFill/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2276930" y="30153428"/>
            <a:ext cx="6467928" cy="232966"/>
          </a:xfrm>
          <a:prstGeom prst="rect">
            <a:avLst/>
          </a:prstGeom>
          <a:noFill/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2231571" y="30672740"/>
            <a:ext cx="6504216" cy="260831"/>
          </a:xfrm>
          <a:prstGeom prst="rect">
            <a:avLst/>
          </a:prstGeom>
          <a:noFill/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2267857" y="30939628"/>
            <a:ext cx="6495144" cy="202586"/>
          </a:xfrm>
          <a:prstGeom prst="rect">
            <a:avLst/>
          </a:prstGeom>
          <a:noFill/>
        </xdr:spPr>
      </xdr:pic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400050</xdr:colOff>
      <xdr:row>2</xdr:row>
      <xdr:rowOff>57150</xdr:rowOff>
    </xdr:from>
    <xdr:to>
      <xdr:col>15</xdr:col>
      <xdr:colOff>114300</xdr:colOff>
      <xdr:row>23</xdr:row>
      <xdr:rowOff>200025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4CB2AAE-BC2B-49D3-BCF7-AA58FBB846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123825</xdr:colOff>
      <xdr:row>0</xdr:row>
      <xdr:rowOff>95250</xdr:rowOff>
    </xdr:from>
    <xdr:to>
      <xdr:col>14</xdr:col>
      <xdr:colOff>295275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295275</xdr:colOff>
      <xdr:row>2</xdr:row>
      <xdr:rowOff>57150</xdr:rowOff>
    </xdr:from>
    <xdr:to>
      <xdr:col>15</xdr:col>
      <xdr:colOff>57151</xdr:colOff>
      <xdr:row>23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CEE890-B068-4C26-9609-94DF182D46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121919</xdr:colOff>
      <xdr:row>0</xdr:row>
      <xdr:rowOff>140970</xdr:rowOff>
    </xdr:from>
    <xdr:to>
      <xdr:col>14</xdr:col>
      <xdr:colOff>161924</xdr:colOff>
      <xdr:row>19</xdr:row>
      <xdr:rowOff>188595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zoomScale="85" zoomScaleNormal="85" workbookViewId="0">
      <selection activeCell="J29" sqref="J29"/>
    </sheetView>
  </sheetViews>
  <sheetFormatPr defaultColWidth="12.625" defaultRowHeight="15" customHeight="1"/>
  <cols>
    <col min="1" max="1" width="11.875" customWidth="1"/>
    <col min="2" max="2" width="35" customWidth="1"/>
    <col min="3" max="3" width="23.75" bestFit="1" customWidth="1"/>
    <col min="4" max="4" width="37.125" customWidth="1"/>
    <col min="5" max="5" width="24.75" customWidth="1"/>
    <col min="6" max="11" width="7.625" customWidth="1"/>
  </cols>
  <sheetData>
    <row r="1" spans="1:5" ht="23.25" customHeight="1">
      <c r="A1" s="1"/>
      <c r="B1" s="332" t="s">
        <v>0</v>
      </c>
      <c r="C1" s="326"/>
      <c r="D1" s="326"/>
      <c r="E1" s="327"/>
    </row>
    <row r="2" spans="1:5" ht="25.5">
      <c r="A2" s="1"/>
      <c r="B2" s="2" t="s">
        <v>1</v>
      </c>
      <c r="C2" s="3" t="s">
        <v>2</v>
      </c>
      <c r="D2" s="2" t="s">
        <v>3</v>
      </c>
      <c r="E2" s="3" t="s">
        <v>4</v>
      </c>
    </row>
    <row r="3" spans="1:5" ht="25.5">
      <c r="A3" s="1"/>
      <c r="B3" s="2" t="s">
        <v>5</v>
      </c>
      <c r="C3" s="3" t="s">
        <v>6</v>
      </c>
      <c r="D3" s="2" t="s">
        <v>7</v>
      </c>
      <c r="E3" s="3" t="s">
        <v>8</v>
      </c>
    </row>
    <row r="4" spans="1:5" ht="25.5">
      <c r="A4" s="1"/>
      <c r="B4" s="2" t="s">
        <v>9</v>
      </c>
      <c r="C4" s="3" t="s">
        <v>10</v>
      </c>
      <c r="D4" s="2" t="s">
        <v>11</v>
      </c>
      <c r="E4" s="175">
        <v>34</v>
      </c>
    </row>
    <row r="5" spans="1:5" ht="25.5">
      <c r="A5" s="1"/>
      <c r="B5" s="2" t="s">
        <v>12</v>
      </c>
      <c r="C5" s="3" t="s">
        <v>13</v>
      </c>
      <c r="D5" s="4" t="s">
        <v>14</v>
      </c>
      <c r="E5" s="176" t="s">
        <v>15</v>
      </c>
    </row>
    <row r="6" spans="1:5" ht="25.5">
      <c r="A6" s="1"/>
      <c r="B6" s="2" t="s">
        <v>16</v>
      </c>
      <c r="C6" s="3" t="s">
        <v>17</v>
      </c>
      <c r="D6" s="2" t="s">
        <v>18</v>
      </c>
      <c r="E6" s="5" t="s">
        <v>19</v>
      </c>
    </row>
    <row r="7" spans="1:5" ht="25.5">
      <c r="A7" s="1"/>
      <c r="B7" s="2" t="s">
        <v>20</v>
      </c>
      <c r="C7" s="3" t="s">
        <v>21</v>
      </c>
      <c r="D7" s="2" t="s">
        <v>22</v>
      </c>
      <c r="E7" s="3" t="s">
        <v>23</v>
      </c>
    </row>
    <row r="8" spans="1:5" ht="16.5" customHeight="1">
      <c r="A8" s="1"/>
      <c r="B8" s="1"/>
      <c r="C8" s="1"/>
      <c r="D8" s="1"/>
      <c r="E8" s="1"/>
    </row>
    <row r="9" spans="1:5" ht="16.5" customHeight="1">
      <c r="A9" s="1"/>
      <c r="B9" s="1"/>
      <c r="C9" s="1"/>
      <c r="D9" s="1"/>
      <c r="E9" s="1"/>
    </row>
    <row r="10" spans="1:5" ht="25.5">
      <c r="A10" s="325" t="s">
        <v>24</v>
      </c>
      <c r="B10" s="326"/>
      <c r="C10" s="326"/>
      <c r="D10" s="326"/>
      <c r="E10" s="327"/>
    </row>
    <row r="11" spans="1:5" ht="25.5">
      <c r="A11" s="334" t="s">
        <v>25</v>
      </c>
      <c r="B11" s="6" t="s">
        <v>26</v>
      </c>
      <c r="C11" s="7" t="s">
        <v>27</v>
      </c>
      <c r="D11" s="8" t="s">
        <v>28</v>
      </c>
      <c r="E11" s="5">
        <v>1</v>
      </c>
    </row>
    <row r="12" spans="1:5" ht="25.5">
      <c r="A12" s="322"/>
      <c r="B12" s="9" t="s">
        <v>29</v>
      </c>
      <c r="C12" s="3">
        <v>120</v>
      </c>
      <c r="D12" s="2" t="s">
        <v>30</v>
      </c>
      <c r="E12" s="3">
        <v>100</v>
      </c>
    </row>
    <row r="13" spans="1:5" ht="25.5">
      <c r="A13" s="322"/>
      <c r="B13" s="9" t="s">
        <v>31</v>
      </c>
      <c r="C13" s="3">
        <v>86</v>
      </c>
      <c r="D13" s="114" t="s">
        <v>224</v>
      </c>
      <c r="E13" s="114" t="s">
        <v>224</v>
      </c>
    </row>
    <row r="14" spans="1:5" ht="25.5">
      <c r="A14" s="322"/>
      <c r="B14" s="9" t="s">
        <v>32</v>
      </c>
      <c r="C14" s="3">
        <v>7</v>
      </c>
      <c r="D14" s="2" t="s">
        <v>33</v>
      </c>
      <c r="E14" s="3">
        <v>35</v>
      </c>
    </row>
    <row r="15" spans="1:5" ht="27" thickTop="1" thickBot="1">
      <c r="A15" s="322"/>
      <c r="B15" s="9" t="s">
        <v>34</v>
      </c>
      <c r="C15" s="3">
        <v>12</v>
      </c>
      <c r="D15" s="2" t="s">
        <v>35</v>
      </c>
      <c r="E15" s="3">
        <v>30</v>
      </c>
    </row>
    <row r="16" spans="1:5" ht="27" thickTop="1" thickBot="1">
      <c r="A16" s="324" t="s">
        <v>38</v>
      </c>
      <c r="B16" s="10" t="s">
        <v>39</v>
      </c>
      <c r="C16" s="178">
        <v>89.61</v>
      </c>
      <c r="D16" s="11" t="s">
        <v>40</v>
      </c>
      <c r="E16" s="258">
        <v>120</v>
      </c>
    </row>
    <row r="17" spans="1:5" ht="25.5">
      <c r="A17" s="322"/>
      <c r="B17" s="10" t="s">
        <v>41</v>
      </c>
      <c r="C17" s="178">
        <v>18.05</v>
      </c>
      <c r="D17" s="11" t="s">
        <v>42</v>
      </c>
      <c r="E17" s="178">
        <v>31.4</v>
      </c>
    </row>
    <row r="18" spans="1:5" ht="27" thickTop="1" thickBot="1">
      <c r="A18" s="323"/>
      <c r="B18" s="10" t="s">
        <v>43</v>
      </c>
      <c r="C18" s="178">
        <v>12.2</v>
      </c>
      <c r="D18" s="11" t="s">
        <v>44</v>
      </c>
      <c r="E18" s="258">
        <v>36</v>
      </c>
    </row>
    <row r="19" spans="1:5" ht="27" thickTop="1" thickBot="1">
      <c r="A19" s="319" t="s">
        <v>45</v>
      </c>
      <c r="B19" s="13" t="s">
        <v>36</v>
      </c>
      <c r="C19" s="179">
        <f>C15-C14</f>
        <v>5</v>
      </c>
      <c r="D19" s="14" t="s">
        <v>37</v>
      </c>
      <c r="E19" s="179">
        <f>E14-E15</f>
        <v>5</v>
      </c>
    </row>
    <row r="20" spans="1:5" ht="27" thickTop="1" thickBot="1">
      <c r="A20" s="320"/>
      <c r="B20" s="13" t="s">
        <v>46</v>
      </c>
      <c r="C20" s="179">
        <f>C17-C18</f>
        <v>5.8500000000000014</v>
      </c>
      <c r="D20" s="14" t="s">
        <v>47</v>
      </c>
      <c r="E20" s="179">
        <f>E18-E17</f>
        <v>4.6000000000000014</v>
      </c>
    </row>
    <row r="21" spans="1:5" ht="16.5" customHeight="1" thickTop="1">
      <c r="A21" s="1"/>
      <c r="B21" s="1"/>
      <c r="C21" s="1"/>
      <c r="D21" s="1"/>
      <c r="E21" s="1"/>
    </row>
    <row r="22" spans="1:5" ht="16.5" customHeight="1">
      <c r="A22" s="1"/>
      <c r="B22" s="1"/>
      <c r="C22" s="1"/>
      <c r="D22" s="1"/>
      <c r="E22" s="1"/>
    </row>
    <row r="23" spans="1:5" ht="25.5">
      <c r="A23" s="333" t="s">
        <v>48</v>
      </c>
      <c r="B23" s="326"/>
      <c r="C23" s="326"/>
      <c r="D23" s="326"/>
      <c r="E23" s="327"/>
    </row>
    <row r="24" spans="1:5" ht="25.5">
      <c r="A24" s="330" t="s">
        <v>25</v>
      </c>
      <c r="B24" s="333" t="s">
        <v>49</v>
      </c>
      <c r="C24" s="326"/>
      <c r="D24" s="327"/>
      <c r="E24" s="176">
        <v>3.3</v>
      </c>
    </row>
    <row r="25" spans="1:5" ht="25.5">
      <c r="A25" s="322"/>
      <c r="B25" s="16" t="s">
        <v>50</v>
      </c>
      <c r="C25" s="176">
        <v>22.8</v>
      </c>
      <c r="D25" s="15" t="s">
        <v>51</v>
      </c>
      <c r="E25" s="176">
        <v>2350</v>
      </c>
    </row>
    <row r="26" spans="1:5" ht="25.5">
      <c r="A26" s="322"/>
      <c r="B26" s="16" t="s">
        <v>225</v>
      </c>
      <c r="C26" s="176">
        <v>30</v>
      </c>
      <c r="D26" s="15" t="s">
        <v>53</v>
      </c>
      <c r="E26" s="176">
        <v>1750</v>
      </c>
    </row>
    <row r="27" spans="1:5" ht="25.5">
      <c r="A27" s="322"/>
      <c r="B27" s="16" t="s">
        <v>54</v>
      </c>
      <c r="C27" s="176"/>
      <c r="D27" s="15" t="s">
        <v>55</v>
      </c>
      <c r="E27" s="176"/>
    </row>
    <row r="28" spans="1:5" ht="25.5">
      <c r="A28" s="323"/>
      <c r="B28" s="16" t="s">
        <v>56</v>
      </c>
      <c r="C28" s="176">
        <v>92.4</v>
      </c>
      <c r="D28" s="15" t="s">
        <v>57</v>
      </c>
      <c r="E28" s="176">
        <v>0</v>
      </c>
    </row>
    <row r="29" spans="1:5" ht="25.5">
      <c r="A29" s="324" t="s">
        <v>38</v>
      </c>
      <c r="B29" s="17" t="s">
        <v>58</v>
      </c>
      <c r="C29" s="177">
        <v>1.2</v>
      </c>
      <c r="D29" s="18" t="s">
        <v>59</v>
      </c>
      <c r="E29" s="177">
        <v>3.45</v>
      </c>
    </row>
    <row r="30" spans="1:5" ht="25.5">
      <c r="A30" s="322"/>
      <c r="B30" s="17" t="s">
        <v>60</v>
      </c>
      <c r="C30" s="177">
        <v>0</v>
      </c>
      <c r="D30" s="18" t="s">
        <v>61</v>
      </c>
      <c r="E30" s="177">
        <v>0.35</v>
      </c>
    </row>
    <row r="31" spans="1:5" ht="27" thickTop="1" thickBot="1">
      <c r="A31" s="322"/>
      <c r="B31" s="18" t="s">
        <v>39</v>
      </c>
      <c r="C31" s="177">
        <v>7.1929999999999996</v>
      </c>
      <c r="D31" s="115" t="s">
        <v>224</v>
      </c>
      <c r="E31" s="115" t="s">
        <v>224</v>
      </c>
    </row>
    <row r="32" spans="1:5" ht="27" thickTop="1" thickBot="1">
      <c r="A32" s="322"/>
      <c r="B32" s="17" t="s">
        <v>62</v>
      </c>
      <c r="C32" s="177">
        <v>358.14</v>
      </c>
      <c r="D32" s="18" t="s">
        <v>64</v>
      </c>
      <c r="E32" s="177">
        <v>6.6</v>
      </c>
    </row>
    <row r="33" spans="1:5" ht="27" thickTop="1" thickBot="1">
      <c r="A33" s="323"/>
      <c r="B33" s="331" t="s">
        <v>66</v>
      </c>
      <c r="C33" s="326"/>
      <c r="D33" s="327"/>
      <c r="E33" s="177">
        <v>2.1819999999999999</v>
      </c>
    </row>
    <row r="34" spans="1:5" ht="27" thickTop="1" thickBot="1">
      <c r="A34" s="319" t="s">
        <v>45</v>
      </c>
      <c r="B34" s="19" t="s">
        <v>63</v>
      </c>
      <c r="C34" s="180">
        <f>C32/PI()</f>
        <v>113.99950263786279</v>
      </c>
      <c r="D34" s="19" t="s">
        <v>65</v>
      </c>
      <c r="E34" s="180">
        <f>PI()/4*(C34-2*E32)^2</f>
        <v>7980.0692446714147</v>
      </c>
    </row>
    <row r="35" spans="1:5" ht="27" thickTop="1" thickBot="1">
      <c r="A35" s="320"/>
      <c r="B35" s="19" t="s">
        <v>67</v>
      </c>
      <c r="C35" s="12">
        <f>(E29-C29)*10+(E30-C30)</f>
        <v>22.85</v>
      </c>
      <c r="D35" s="19" t="s">
        <v>68</v>
      </c>
      <c r="E35" s="180">
        <f>E34*E33/1000*60</f>
        <v>1044.7506655123816</v>
      </c>
    </row>
    <row r="36" spans="1:5" ht="16.5" customHeight="1" thickTop="1" thickBot="1">
      <c r="A36" s="1"/>
      <c r="B36" s="1"/>
      <c r="C36" s="1"/>
      <c r="D36" s="1"/>
      <c r="E36" s="1"/>
    </row>
    <row r="37" spans="1:5" ht="25.5">
      <c r="A37" s="335" t="s">
        <v>69</v>
      </c>
      <c r="B37" s="326"/>
      <c r="C37" s="326"/>
      <c r="D37" s="326"/>
      <c r="E37" s="327"/>
    </row>
    <row r="38" spans="1:5" ht="25.5">
      <c r="A38" s="330" t="s">
        <v>25</v>
      </c>
      <c r="B38" s="15" t="s">
        <v>50</v>
      </c>
      <c r="C38" s="15"/>
      <c r="D38" s="15" t="s">
        <v>51</v>
      </c>
      <c r="E38" s="15"/>
    </row>
    <row r="39" spans="1:5" ht="25.5">
      <c r="A39" s="322"/>
      <c r="B39" s="15" t="s">
        <v>52</v>
      </c>
      <c r="C39" s="15"/>
      <c r="D39" s="15" t="s">
        <v>53</v>
      </c>
      <c r="E39" s="15"/>
    </row>
    <row r="40" spans="1:5" ht="25.5">
      <c r="A40" s="322"/>
      <c r="B40" s="16" t="s">
        <v>54</v>
      </c>
      <c r="C40" s="15"/>
      <c r="D40" s="15" t="s">
        <v>55</v>
      </c>
      <c r="E40" s="15"/>
    </row>
    <row r="41" spans="1:5" ht="25.5">
      <c r="A41" s="323"/>
      <c r="B41" s="15" t="s">
        <v>56</v>
      </c>
      <c r="C41" s="15"/>
      <c r="D41" s="15" t="s">
        <v>39</v>
      </c>
      <c r="E41" s="15"/>
    </row>
    <row r="42" spans="1:5" ht="25.5">
      <c r="A42" s="324" t="s">
        <v>38</v>
      </c>
      <c r="B42" s="18" t="s">
        <v>58</v>
      </c>
      <c r="C42" s="18"/>
      <c r="D42" s="18" t="s">
        <v>59</v>
      </c>
      <c r="E42" s="18"/>
    </row>
    <row r="43" spans="1:5" ht="25.5">
      <c r="A43" s="322"/>
      <c r="B43" s="18" t="s">
        <v>60</v>
      </c>
      <c r="C43" s="18"/>
      <c r="D43" s="18" t="s">
        <v>61</v>
      </c>
      <c r="E43" s="18"/>
    </row>
    <row r="44" spans="1:5" ht="27" thickTop="1" thickBot="1">
      <c r="A44" s="322"/>
      <c r="B44" s="18" t="s">
        <v>39</v>
      </c>
      <c r="C44" s="18"/>
      <c r="D44" s="115" t="s">
        <v>224</v>
      </c>
      <c r="E44" s="115" t="s">
        <v>224</v>
      </c>
    </row>
    <row r="45" spans="1:5" ht="27" thickTop="1" thickBot="1">
      <c r="A45" s="322"/>
      <c r="B45" s="17" t="s">
        <v>62</v>
      </c>
      <c r="C45" s="18"/>
      <c r="D45" s="18" t="s">
        <v>64</v>
      </c>
      <c r="E45" s="18"/>
    </row>
    <row r="46" spans="1:5" ht="27" thickTop="1" thickBot="1">
      <c r="A46" s="323"/>
      <c r="B46" s="331" t="s">
        <v>66</v>
      </c>
      <c r="C46" s="326"/>
      <c r="D46" s="327"/>
      <c r="E46" s="18"/>
    </row>
    <row r="47" spans="1:5" ht="31.5" thickTop="1" thickBot="1">
      <c r="A47" s="319" t="s">
        <v>45</v>
      </c>
      <c r="B47" s="19" t="s">
        <v>63</v>
      </c>
      <c r="C47" s="19"/>
      <c r="D47" s="19" t="s">
        <v>274</v>
      </c>
      <c r="E47" s="19"/>
    </row>
    <row r="48" spans="1:5" ht="31.5" thickTop="1" thickBot="1">
      <c r="A48" s="320"/>
      <c r="B48" s="19" t="s">
        <v>67</v>
      </c>
      <c r="C48" s="19"/>
      <c r="D48" s="19" t="s">
        <v>215</v>
      </c>
      <c r="E48" s="19"/>
    </row>
    <row r="49" spans="1:5" ht="16.5" customHeight="1" thickTop="1" thickBot="1">
      <c r="A49" s="1"/>
      <c r="B49" s="1"/>
      <c r="C49" s="1"/>
      <c r="D49" s="1"/>
      <c r="E49" s="1"/>
    </row>
    <row r="50" spans="1:5" ht="25.5">
      <c r="A50" s="325" t="s">
        <v>213</v>
      </c>
      <c r="B50" s="326"/>
      <c r="C50" s="326"/>
      <c r="D50" s="326"/>
      <c r="E50" s="327"/>
    </row>
    <row r="51" spans="1:5" ht="25.5">
      <c r="A51" s="328" t="s">
        <v>70</v>
      </c>
      <c r="B51" s="326"/>
      <c r="C51" s="326"/>
      <c r="D51" s="327"/>
      <c r="E51" s="3">
        <v>0.5</v>
      </c>
    </row>
    <row r="52" spans="1:5" ht="25.5">
      <c r="A52" s="321" t="s">
        <v>25</v>
      </c>
      <c r="B52" s="8" t="s">
        <v>50</v>
      </c>
      <c r="C52" s="5">
        <v>26.7</v>
      </c>
      <c r="D52" s="8" t="s">
        <v>51</v>
      </c>
      <c r="E52" s="5">
        <v>2697</v>
      </c>
    </row>
    <row r="53" spans="1:5" ht="25.5">
      <c r="A53" s="322"/>
      <c r="B53" s="2" t="s">
        <v>52</v>
      </c>
      <c r="C53" s="3">
        <v>40</v>
      </c>
      <c r="D53" s="2" t="s">
        <v>53</v>
      </c>
      <c r="E53" s="3">
        <v>1750</v>
      </c>
    </row>
    <row r="54" spans="1:5" ht="25.5">
      <c r="A54" s="322"/>
      <c r="B54" s="16" t="s">
        <v>212</v>
      </c>
      <c r="C54" s="176"/>
      <c r="D54" s="15" t="s">
        <v>55</v>
      </c>
      <c r="E54" s="3"/>
    </row>
    <row r="55" spans="1:5" ht="25.5">
      <c r="A55" s="323"/>
      <c r="B55" s="2" t="s">
        <v>56</v>
      </c>
      <c r="C55" s="3">
        <v>94</v>
      </c>
      <c r="D55" s="2" t="s">
        <v>39</v>
      </c>
      <c r="E55" s="3">
        <v>26.36</v>
      </c>
    </row>
    <row r="56" spans="1:5" ht="25.5">
      <c r="A56" s="324" t="s">
        <v>38</v>
      </c>
      <c r="B56" s="11" t="s">
        <v>58</v>
      </c>
      <c r="C56" s="178">
        <v>0.27</v>
      </c>
      <c r="D56" s="11" t="s">
        <v>59</v>
      </c>
      <c r="E56" s="178">
        <v>1.7250000000000001</v>
      </c>
    </row>
    <row r="57" spans="1:5" ht="25.5">
      <c r="A57" s="322"/>
      <c r="B57" s="11" t="s">
        <v>60</v>
      </c>
      <c r="C57" s="178">
        <v>0.16</v>
      </c>
      <c r="D57" s="11" t="s">
        <v>61</v>
      </c>
      <c r="E57" s="178">
        <v>0.16</v>
      </c>
    </row>
    <row r="58" spans="1:5" ht="27" thickTop="1" thickBot="1">
      <c r="A58" s="322"/>
      <c r="B58" s="18" t="s">
        <v>39</v>
      </c>
      <c r="C58" s="177">
        <v>11.042999999999999</v>
      </c>
      <c r="D58" s="115" t="s">
        <v>224</v>
      </c>
      <c r="E58" s="115" t="s">
        <v>224</v>
      </c>
    </row>
    <row r="59" spans="1:5" ht="27" thickTop="1" thickBot="1">
      <c r="A59" s="322"/>
      <c r="B59" s="17" t="s">
        <v>62</v>
      </c>
      <c r="C59" s="177">
        <v>439.2</v>
      </c>
      <c r="D59" s="18" t="s">
        <v>64</v>
      </c>
      <c r="E59" s="181">
        <v>6.6</v>
      </c>
    </row>
    <row r="60" spans="1:5" ht="27" thickTop="1" thickBot="1">
      <c r="A60" s="323"/>
      <c r="B60" s="331" t="s">
        <v>66</v>
      </c>
      <c r="C60" s="326"/>
      <c r="D60" s="327"/>
      <c r="E60" s="177">
        <v>2.1579999999999999</v>
      </c>
    </row>
    <row r="61" spans="1:5" ht="31.5" thickTop="1" thickBot="1">
      <c r="A61" s="319" t="s">
        <v>45</v>
      </c>
      <c r="B61" s="19" t="s">
        <v>63</v>
      </c>
      <c r="C61" s="180">
        <f>C59/PI()</f>
        <v>139.80170201192087</v>
      </c>
      <c r="D61" s="19" t="s">
        <v>214</v>
      </c>
      <c r="E61" s="180">
        <f>PI()/4*(C61-2*E59)^2</f>
        <v>12588.354656899282</v>
      </c>
    </row>
    <row r="62" spans="1:5" ht="27" thickTop="1" thickBot="1">
      <c r="A62" s="320"/>
      <c r="B62" s="19" t="s">
        <v>67</v>
      </c>
      <c r="C62" s="12">
        <f>(E56-C56)*10+(E57-C57)</f>
        <v>14.55</v>
      </c>
      <c r="D62" s="19" t="s">
        <v>68</v>
      </c>
      <c r="E62" s="182">
        <f>E61*E60/1000*60</f>
        <v>1629.940160975319</v>
      </c>
    </row>
    <row r="63" spans="1:5" ht="16.5" customHeight="1" thickTop="1"/>
    <row r="64" spans="1:5" ht="16.5" customHeight="1"/>
    <row r="65" spans="1:5" ht="27" thickTop="1" thickBot="1">
      <c r="A65" s="325" t="s">
        <v>71</v>
      </c>
      <c r="B65" s="326"/>
      <c r="C65" s="326"/>
      <c r="D65" s="326"/>
      <c r="E65" s="327"/>
    </row>
    <row r="66" spans="1:5" ht="27" thickTop="1" thickBot="1">
      <c r="A66" s="330" t="s">
        <v>25</v>
      </c>
      <c r="B66" s="2" t="s">
        <v>72</v>
      </c>
      <c r="C66" s="20">
        <v>2.6</v>
      </c>
      <c r="D66" s="2" t="s">
        <v>73</v>
      </c>
      <c r="E66" s="176">
        <v>0.7</v>
      </c>
    </row>
    <row r="67" spans="1:5" ht="27" thickTop="1" thickBot="1">
      <c r="A67" s="322"/>
      <c r="B67" s="259" t="s">
        <v>52</v>
      </c>
      <c r="C67" s="183">
        <v>6</v>
      </c>
      <c r="D67" s="259" t="s">
        <v>56</v>
      </c>
      <c r="E67" s="183">
        <v>88.5</v>
      </c>
    </row>
    <row r="68" spans="1:5" ht="27" thickTop="1" thickBot="1">
      <c r="A68" s="324" t="s">
        <v>38</v>
      </c>
      <c r="B68" s="11" t="s">
        <v>74</v>
      </c>
      <c r="C68" s="184">
        <v>28</v>
      </c>
      <c r="D68" s="11" t="s">
        <v>75</v>
      </c>
      <c r="E68" s="188">
        <v>0.64</v>
      </c>
    </row>
    <row r="69" spans="1:5" ht="27" thickTop="1" thickBot="1">
      <c r="A69" s="322"/>
      <c r="B69" s="11" t="s">
        <v>76</v>
      </c>
      <c r="C69" s="184">
        <v>34</v>
      </c>
      <c r="D69" s="11" t="s">
        <v>77</v>
      </c>
      <c r="E69" s="184">
        <v>3.76</v>
      </c>
    </row>
    <row r="70" spans="1:5" ht="27" thickTop="1" thickBot="1">
      <c r="A70" s="329"/>
      <c r="B70" s="260" t="s">
        <v>78</v>
      </c>
      <c r="C70" s="185">
        <f>E18</f>
        <v>36</v>
      </c>
      <c r="D70" s="260" t="s">
        <v>79</v>
      </c>
      <c r="E70" s="185">
        <f>E17</f>
        <v>31.4</v>
      </c>
    </row>
    <row r="71" spans="1:5" ht="27" thickTop="1" thickBot="1">
      <c r="A71" s="319" t="s">
        <v>45</v>
      </c>
      <c r="B71" s="14" t="s">
        <v>80</v>
      </c>
      <c r="C71" s="186">
        <f>C70-E70</f>
        <v>4.6000000000000014</v>
      </c>
      <c r="D71" s="14" t="s">
        <v>81</v>
      </c>
      <c r="E71" s="186">
        <f>E70-C68</f>
        <v>3.3999999999999986</v>
      </c>
    </row>
    <row r="72" spans="1:5" ht="27" thickTop="1" thickBot="1">
      <c r="A72" s="323"/>
      <c r="B72" s="19" t="s">
        <v>82</v>
      </c>
      <c r="C72" s="187">
        <f>(C70-E70)/(C70-C68)</f>
        <v>0.57500000000000018</v>
      </c>
      <c r="D72" s="116" t="s">
        <v>224</v>
      </c>
      <c r="E72" s="116" t="s">
        <v>224</v>
      </c>
    </row>
    <row r="73" spans="1:5" ht="16.5" customHeight="1" thickTop="1"/>
    <row r="74" spans="1:5" ht="16.5" customHeight="1"/>
    <row r="75" spans="1:5" ht="16.5" customHeight="1"/>
    <row r="76" spans="1:5" ht="16.5" customHeight="1"/>
    <row r="77" spans="1:5" ht="16.5" customHeight="1"/>
    <row r="78" spans="1:5" ht="16.5" customHeight="1"/>
    <row r="79" spans="1:5" ht="16.5" customHeight="1"/>
    <row r="80" spans="1:5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6">
    <mergeCell ref="B33:D33"/>
    <mergeCell ref="A29:A33"/>
    <mergeCell ref="A38:A41"/>
    <mergeCell ref="A42:A46"/>
    <mergeCell ref="A19:A20"/>
    <mergeCell ref="A34:A35"/>
    <mergeCell ref="B46:D46"/>
    <mergeCell ref="A37:E37"/>
    <mergeCell ref="B1:E1"/>
    <mergeCell ref="A10:E10"/>
    <mergeCell ref="A23:E23"/>
    <mergeCell ref="A11:A15"/>
    <mergeCell ref="B24:D24"/>
    <mergeCell ref="A16:A18"/>
    <mergeCell ref="A24:A28"/>
    <mergeCell ref="A71:A72"/>
    <mergeCell ref="A68:A70"/>
    <mergeCell ref="A66:A67"/>
    <mergeCell ref="A65:E65"/>
    <mergeCell ref="B60:D60"/>
    <mergeCell ref="A47:A48"/>
    <mergeCell ref="A61:A62"/>
    <mergeCell ref="A52:A55"/>
    <mergeCell ref="A56:A60"/>
    <mergeCell ref="A50:E50"/>
    <mergeCell ref="A51:D51"/>
  </mergeCells>
  <phoneticPr fontId="21" type="noConversion"/>
  <dataValidations count="1">
    <dataValidation type="list" allowBlank="1" showInputMessage="1" showErrorMessage="1" sqref="B26" xr:uid="{00000000-0002-0000-0000-000000000000}">
      <formula1>"額定馬力hp,額定馬力kW"</formula1>
    </dataValidation>
  </dataValidation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0"/>
  <sheetViews>
    <sheetView workbookViewId="0">
      <selection activeCell="K29" sqref="K29"/>
    </sheetView>
  </sheetViews>
  <sheetFormatPr defaultColWidth="12.625" defaultRowHeight="15" customHeight="1"/>
  <cols>
    <col min="1" max="1" width="25.625" style="265" bestFit="1" customWidth="1"/>
    <col min="2" max="2" width="11.875" style="278" bestFit="1" customWidth="1"/>
    <col min="3" max="3" width="11.375" style="265" bestFit="1" customWidth="1"/>
    <col min="4" max="4" width="12.75" style="278" bestFit="1" customWidth="1"/>
    <col min="5" max="5" width="8" style="282" customWidth="1"/>
    <col min="6" max="11" width="10.25" style="282" customWidth="1"/>
    <col min="12" max="12" width="11.125" style="282" customWidth="1"/>
    <col min="13" max="13" width="10.25" style="282" customWidth="1"/>
    <col min="14" max="14" width="5.625" style="282" customWidth="1"/>
    <col min="15" max="15" width="29.125" style="282" customWidth="1"/>
    <col min="16" max="17" width="10.25" style="282" customWidth="1"/>
    <col min="18" max="31" width="10.25" style="265" customWidth="1"/>
    <col min="32" max="16384" width="12.625" style="265"/>
  </cols>
  <sheetData>
    <row r="1" spans="1:16" ht="16.5" customHeight="1">
      <c r="A1" s="261" t="s">
        <v>235</v>
      </c>
      <c r="B1" s="262">
        <f>'2-現況修正回溫差5℃'!F6</f>
        <v>2.6</v>
      </c>
      <c r="C1" s="263" t="s">
        <v>244</v>
      </c>
      <c r="D1" s="307">
        <f>'2-現況修正回溫差5℃'!C4</f>
        <v>1.0419767441860466</v>
      </c>
      <c r="E1" s="303"/>
      <c r="G1" s="283"/>
      <c r="H1" s="284"/>
      <c r="I1" s="285"/>
      <c r="J1" s="286"/>
    </row>
    <row r="2" spans="1:16" ht="16.5" customHeight="1">
      <c r="A2" s="266" t="s">
        <v>236</v>
      </c>
      <c r="B2" s="267">
        <f>'2-現況修正回溫差5℃'!F7</f>
        <v>4.4980531606781368E-6</v>
      </c>
      <c r="C2" s="268" t="s">
        <v>245</v>
      </c>
      <c r="D2" s="310">
        <f>'2-現況修正回溫差5℃'!D4</f>
        <v>1.0106164980775878</v>
      </c>
      <c r="E2" s="304"/>
      <c r="F2" s="287"/>
      <c r="G2" s="288"/>
      <c r="H2" s="288"/>
      <c r="I2" s="289"/>
      <c r="J2" s="290"/>
      <c r="K2" s="287"/>
      <c r="L2" s="287"/>
      <c r="M2" s="287"/>
      <c r="N2" s="287"/>
      <c r="O2" s="287"/>
      <c r="P2" s="287"/>
    </row>
    <row r="3" spans="1:16" ht="16.5">
      <c r="A3" s="268" t="s">
        <v>185</v>
      </c>
      <c r="B3" s="262">
        <f>'2-現況修正回溫差5℃'!F11</f>
        <v>4.6000000000000014</v>
      </c>
      <c r="C3" s="270"/>
      <c r="D3" s="271" t="s">
        <v>254</v>
      </c>
      <c r="E3" s="305"/>
      <c r="F3" s="287"/>
      <c r="G3" s="288"/>
      <c r="H3" s="288"/>
      <c r="I3" s="289"/>
      <c r="J3" s="290"/>
      <c r="K3" s="287"/>
      <c r="L3" s="287"/>
      <c r="M3" s="287"/>
      <c r="N3" s="287"/>
      <c r="O3" s="287"/>
      <c r="P3" s="287"/>
    </row>
    <row r="4" spans="1:16" ht="16.5">
      <c r="A4" s="272" t="s">
        <v>237</v>
      </c>
      <c r="B4" s="262">
        <f>'2-現況修正回溫差5℃'!F12</f>
        <v>1629.940160975319</v>
      </c>
      <c r="C4" s="273" t="s">
        <v>180</v>
      </c>
      <c r="D4" s="274">
        <f>$B$1+$B$2*B4^2</f>
        <v>14.55</v>
      </c>
      <c r="E4" s="306"/>
      <c r="F4" s="287"/>
      <c r="G4" s="291"/>
      <c r="H4" s="287"/>
      <c r="I4" s="292"/>
      <c r="J4" s="290"/>
      <c r="K4" s="287"/>
      <c r="L4" s="287"/>
      <c r="M4" s="287"/>
      <c r="N4" s="287"/>
      <c r="O4" s="287"/>
      <c r="P4" s="287"/>
    </row>
    <row r="5" spans="1:16" ht="24" customHeight="1">
      <c r="A5" s="272" t="s">
        <v>243</v>
      </c>
      <c r="B5" s="262">
        <f>'2-現況修正回溫差5℃'!F13</f>
        <v>1499.5449480972941</v>
      </c>
      <c r="C5" s="270" t="s">
        <v>238</v>
      </c>
      <c r="D5" s="274">
        <f t="shared" ref="D5:D16" si="0">$B$1+$B$2*B5^2</f>
        <v>12.714480000000007</v>
      </c>
      <c r="E5" s="306"/>
      <c r="F5" s="287"/>
      <c r="G5" s="288"/>
      <c r="H5" s="288"/>
      <c r="I5" s="311"/>
      <c r="J5" s="293" t="str">
        <f>"全新系統 H="&amp;B21&amp;"+"&amp;ROUND(B22,8)&amp;" ×"</f>
        <v>全新系統 H=2.6+0.00000284 ×</v>
      </c>
      <c r="K5" s="294" t="s">
        <v>252</v>
      </c>
      <c r="L5" s="287"/>
      <c r="M5" s="293" t="str">
        <f>"H="&amp;B1&amp;"+"&amp;ROUND(B2,8)&amp;" ×"</f>
        <v>H=2.6+0.0000045 ×</v>
      </c>
      <c r="N5" s="294" t="s">
        <v>252</v>
      </c>
      <c r="O5" s="295" t="s">
        <v>246</v>
      </c>
      <c r="P5" s="287"/>
    </row>
    <row r="6" spans="1:16" ht="16.5" customHeight="1">
      <c r="A6" s="272" t="s">
        <v>248</v>
      </c>
      <c r="B6" s="262">
        <f>'3-修回溫差5℃+功率100%'!F8</f>
        <v>1499.5449480972941</v>
      </c>
      <c r="C6" s="270" t="s">
        <v>239</v>
      </c>
      <c r="D6" s="274">
        <f t="shared" si="0"/>
        <v>12.714480000000007</v>
      </c>
      <c r="E6" s="306"/>
      <c r="F6" s="287"/>
      <c r="G6" s="288"/>
      <c r="H6" s="296"/>
      <c r="I6" s="290"/>
      <c r="J6" s="290"/>
      <c r="K6" s="287"/>
      <c r="L6" s="287"/>
      <c r="M6" s="287"/>
      <c r="N6" s="287"/>
      <c r="O6" s="297" t="str">
        <f>"馬達運轉負載 "&amp;ROUND(D1,3)*100&amp;"%,Δt="&amp;B3&amp;"℃"</f>
        <v>馬達運轉負載 104.2%,Δt=4.6℃</v>
      </c>
      <c r="P6" s="287"/>
    </row>
    <row r="7" spans="1:16" ht="16.5" customHeight="1">
      <c r="A7" s="272" t="s">
        <v>240</v>
      </c>
      <c r="B7" s="262">
        <f>'4-更新冰機+泵浦+舊管路'!F9</f>
        <v>1500</v>
      </c>
      <c r="C7" s="270" t="s">
        <v>241</v>
      </c>
      <c r="D7" s="274">
        <f t="shared" si="0"/>
        <v>12.720619611525807</v>
      </c>
      <c r="E7" s="306"/>
      <c r="F7" s="287"/>
      <c r="G7" s="290"/>
      <c r="H7" s="287"/>
      <c r="I7" s="287"/>
      <c r="J7" s="298"/>
      <c r="K7" s="287"/>
      <c r="L7" s="287"/>
      <c r="M7" s="287"/>
      <c r="N7" s="287"/>
      <c r="O7" s="299" t="str">
        <f>"流量 "&amp;ROUND(B4,1)&amp;"LPM, 揚程 "&amp;ROUND(D4,2)&amp;"m"</f>
        <v>流量 1629.9LPM, 揚程 14.55m</v>
      </c>
      <c r="P7" s="287"/>
    </row>
    <row r="8" spans="1:16" ht="16.5" customHeight="1">
      <c r="A8" s="266" t="s">
        <v>242</v>
      </c>
      <c r="B8" s="262">
        <f>MAX(B4:B7)</f>
        <v>1629.940160975319</v>
      </c>
      <c r="C8" s="270"/>
      <c r="D8" s="274">
        <f t="shared" si="0"/>
        <v>14.55</v>
      </c>
      <c r="E8" s="306"/>
      <c r="F8" s="287"/>
      <c r="G8" s="300"/>
      <c r="H8" s="290"/>
      <c r="I8" s="290"/>
      <c r="J8" s="290"/>
      <c r="K8" s="287"/>
      <c r="L8" s="287"/>
      <c r="M8" s="287"/>
      <c r="N8" s="287"/>
      <c r="O8" s="287"/>
      <c r="P8" s="287"/>
    </row>
    <row r="9" spans="1:16" ht="16.5" customHeight="1">
      <c r="A9" s="270">
        <v>0.875</v>
      </c>
      <c r="B9" s="262">
        <f>$B$8*A9</f>
        <v>1426.1976408534042</v>
      </c>
      <c r="C9" s="270"/>
      <c r="D9" s="274">
        <f t="shared" si="0"/>
        <v>11.749218750000001</v>
      </c>
      <c r="E9" s="306"/>
      <c r="F9" s="287"/>
      <c r="G9" s="300"/>
      <c r="H9" s="290"/>
      <c r="I9" s="290"/>
      <c r="J9" s="290"/>
      <c r="K9" s="287"/>
      <c r="L9" s="287"/>
      <c r="M9" s="287"/>
      <c r="N9" s="287"/>
      <c r="O9" s="301" t="s">
        <v>247</v>
      </c>
      <c r="P9" s="287"/>
    </row>
    <row r="10" spans="1:16" ht="16.5" customHeight="1">
      <c r="A10" s="276">
        <v>0.75</v>
      </c>
      <c r="B10" s="262">
        <f t="shared" ref="B10:B16" si="1">$B$8*A10</f>
        <v>1222.4551207314894</v>
      </c>
      <c r="C10" s="270"/>
      <c r="D10" s="274">
        <f t="shared" si="0"/>
        <v>9.3218750000000021</v>
      </c>
      <c r="E10" s="306"/>
      <c r="F10" s="287"/>
      <c r="G10" s="300"/>
      <c r="H10" s="290"/>
      <c r="I10" s="290"/>
      <c r="J10" s="290"/>
      <c r="K10" s="287"/>
      <c r="L10" s="287"/>
      <c r="M10" s="287"/>
      <c r="N10" s="287"/>
      <c r="O10" s="302" t="str">
        <f>"馬達運轉負載 "&amp;ROUND(D1,3)*100&amp;"%,Δt=5℃"</f>
        <v>馬達運轉負載 104.2%,Δt=5℃</v>
      </c>
      <c r="P10" s="287"/>
    </row>
    <row r="11" spans="1:16" ht="16.5" customHeight="1">
      <c r="A11" s="270">
        <v>0.625</v>
      </c>
      <c r="B11" s="262">
        <f t="shared" si="1"/>
        <v>1018.7126006095743</v>
      </c>
      <c r="C11" s="277"/>
      <c r="D11" s="274">
        <f t="shared" si="0"/>
        <v>7.2679687499999996</v>
      </c>
      <c r="E11" s="306"/>
      <c r="F11" s="287"/>
      <c r="G11" s="300"/>
      <c r="H11" s="290"/>
      <c r="I11" s="290"/>
      <c r="J11" s="290"/>
      <c r="K11" s="287"/>
      <c r="L11" s="287"/>
      <c r="M11" s="287"/>
      <c r="N11" s="287"/>
      <c r="O11" s="299" t="str">
        <f>"流量 "&amp;ROUND(B5,1)&amp;"LPM, 揚程 "&amp;ROUND(D5,2)&amp;"m"</f>
        <v>流量 1499.5LPM, 揚程 12.71m</v>
      </c>
      <c r="P11" s="287"/>
    </row>
    <row r="12" spans="1:16" ht="16.5" customHeight="1">
      <c r="A12" s="270">
        <v>0.5</v>
      </c>
      <c r="B12" s="262">
        <f t="shared" si="1"/>
        <v>814.97008048765952</v>
      </c>
      <c r="C12" s="270"/>
      <c r="D12" s="274">
        <f t="shared" si="0"/>
        <v>5.5875000000000004</v>
      </c>
      <c r="E12" s="306"/>
      <c r="F12" s="287"/>
      <c r="G12" s="300"/>
      <c r="H12" s="290"/>
      <c r="I12" s="287"/>
      <c r="J12" s="290"/>
      <c r="K12" s="287"/>
      <c r="L12" s="287"/>
      <c r="M12" s="287"/>
      <c r="N12" s="287"/>
      <c r="O12" s="287"/>
      <c r="P12" s="287"/>
    </row>
    <row r="13" spans="1:16" ht="16.5" customHeight="1">
      <c r="A13" s="270">
        <v>0.375</v>
      </c>
      <c r="B13" s="262">
        <f t="shared" si="1"/>
        <v>611.22756036574469</v>
      </c>
      <c r="C13" s="270"/>
      <c r="D13" s="274">
        <f t="shared" si="0"/>
        <v>4.2804687500000007</v>
      </c>
      <c r="E13" s="306"/>
      <c r="F13" s="287"/>
      <c r="G13" s="300"/>
      <c r="H13" s="290"/>
      <c r="I13" s="287"/>
      <c r="J13" s="290"/>
      <c r="K13" s="287"/>
      <c r="L13" s="287"/>
      <c r="M13" s="287"/>
      <c r="N13" s="287"/>
      <c r="O13" s="301" t="s">
        <v>249</v>
      </c>
      <c r="P13" s="287"/>
    </row>
    <row r="14" spans="1:16" ht="16.5" customHeight="1">
      <c r="A14" s="270">
        <v>0.25</v>
      </c>
      <c r="B14" s="262">
        <f t="shared" si="1"/>
        <v>407.48504024382976</v>
      </c>
      <c r="C14" s="270"/>
      <c r="D14" s="274">
        <f t="shared" si="0"/>
        <v>3.3468750000000003</v>
      </c>
      <c r="E14" s="306"/>
      <c r="F14" s="287"/>
      <c r="G14" s="300"/>
      <c r="H14" s="290"/>
      <c r="I14" s="287"/>
      <c r="J14" s="290"/>
      <c r="K14" s="287"/>
      <c r="L14" s="287"/>
      <c r="M14" s="287"/>
      <c r="N14" s="287"/>
      <c r="O14" s="297" t="s">
        <v>250</v>
      </c>
      <c r="P14" s="287"/>
    </row>
    <row r="15" spans="1:16" ht="16.5" customHeight="1">
      <c r="A15" s="270">
        <v>0.125</v>
      </c>
      <c r="B15" s="262">
        <f t="shared" si="1"/>
        <v>203.74252012191488</v>
      </c>
      <c r="C15" s="270"/>
      <c r="D15" s="274">
        <f t="shared" si="0"/>
        <v>2.7867187499999999</v>
      </c>
      <c r="E15" s="306"/>
      <c r="F15" s="287"/>
      <c r="G15" s="300"/>
      <c r="H15" s="290"/>
      <c r="I15" s="287"/>
      <c r="J15" s="290"/>
      <c r="K15" s="287"/>
      <c r="L15" s="287"/>
      <c r="M15" s="287"/>
      <c r="N15" s="287"/>
      <c r="O15" s="299" t="str">
        <f>"流量 "&amp;ROUND(B6,1)&amp;"LPM, 揚程 "&amp;ROUND(D6,2)&amp;"m"</f>
        <v>流量 1499.5LPM, 揚程 12.71m</v>
      </c>
      <c r="P15" s="287"/>
    </row>
    <row r="16" spans="1:16" ht="16.5" customHeight="1">
      <c r="A16" s="270">
        <v>0</v>
      </c>
      <c r="B16" s="262">
        <f t="shared" si="1"/>
        <v>0</v>
      </c>
      <c r="C16" s="270"/>
      <c r="D16" s="274">
        <f t="shared" si="0"/>
        <v>2.6</v>
      </c>
      <c r="E16" s="306"/>
      <c r="F16" s="287"/>
      <c r="G16" s="300"/>
      <c r="H16" s="290"/>
      <c r="I16" s="287"/>
      <c r="J16" s="290"/>
      <c r="K16" s="287"/>
      <c r="L16" s="287"/>
      <c r="M16" s="287"/>
      <c r="N16" s="287"/>
      <c r="O16" s="287"/>
      <c r="P16" s="287"/>
    </row>
    <row r="17" spans="1:16" ht="16.5" customHeight="1">
      <c r="F17" s="287"/>
      <c r="G17" s="300"/>
      <c r="H17" s="290"/>
      <c r="I17" s="287"/>
      <c r="J17" s="290"/>
      <c r="K17" s="287"/>
      <c r="L17" s="287"/>
      <c r="M17" s="287"/>
      <c r="N17" s="287"/>
      <c r="O17" s="301" t="s">
        <v>251</v>
      </c>
      <c r="P17" s="287"/>
    </row>
    <row r="18" spans="1:16" ht="16.5" customHeight="1">
      <c r="F18" s="287"/>
      <c r="G18" s="300"/>
      <c r="H18" s="290"/>
      <c r="I18" s="287"/>
      <c r="J18" s="290"/>
      <c r="K18" s="287"/>
      <c r="L18" s="287"/>
      <c r="M18" s="287"/>
      <c r="N18" s="287"/>
      <c r="O18" s="297" t="s">
        <v>250</v>
      </c>
      <c r="P18" s="287"/>
    </row>
    <row r="19" spans="1:16" ht="16.5" customHeight="1">
      <c r="F19" s="287"/>
      <c r="G19" s="300"/>
      <c r="H19" s="290"/>
      <c r="I19" s="287"/>
      <c r="J19" s="290"/>
      <c r="K19" s="287"/>
      <c r="L19" s="287"/>
      <c r="M19" s="287"/>
      <c r="N19" s="287"/>
      <c r="O19" s="299" t="str">
        <f>"流量 "&amp;ROUND(B7,1)&amp;"LPM, 揚程 "&amp;ROUND(D7,2)&amp;"m"</f>
        <v>流量 1500LPM, 揚程 12.72m</v>
      </c>
      <c r="P19" s="287"/>
    </row>
    <row r="20" spans="1:16" ht="16.5" customHeight="1">
      <c r="A20" s="410" t="s">
        <v>253</v>
      </c>
      <c r="B20" s="411"/>
      <c r="C20" s="411"/>
      <c r="D20" s="412"/>
      <c r="F20" s="287"/>
      <c r="G20" s="300"/>
      <c r="H20" s="290"/>
      <c r="I20" s="287"/>
      <c r="J20" s="290"/>
      <c r="K20" s="287"/>
      <c r="L20" s="287"/>
      <c r="M20" s="287"/>
      <c r="N20" s="287"/>
      <c r="O20" s="287"/>
      <c r="P20" s="287"/>
    </row>
    <row r="21" spans="1:16" ht="16.5" customHeight="1">
      <c r="A21" s="261" t="s">
        <v>235</v>
      </c>
      <c r="B21" s="278">
        <f>'5-全新系統'!F10</f>
        <v>2.6</v>
      </c>
      <c r="F21" s="287"/>
      <c r="G21" s="288"/>
      <c r="H21" s="290"/>
      <c r="I21" s="290"/>
      <c r="J21" s="290"/>
      <c r="K21" s="287"/>
      <c r="L21" s="287"/>
      <c r="M21" s="287"/>
      <c r="N21" s="287"/>
      <c r="O21" s="295" t="s">
        <v>255</v>
      </c>
      <c r="P21" s="287"/>
    </row>
    <row r="22" spans="1:16" ht="16.5" customHeight="1">
      <c r="A22" s="266" t="s">
        <v>236</v>
      </c>
      <c r="B22" s="279">
        <f>'5-全新系統'!F11</f>
        <v>2.8444444444444446E-6</v>
      </c>
      <c r="F22" s="287"/>
      <c r="G22" s="288"/>
      <c r="H22" s="290"/>
      <c r="I22" s="290"/>
      <c r="J22" s="290"/>
      <c r="K22" s="287"/>
      <c r="L22" s="287"/>
      <c r="M22" s="287"/>
      <c r="N22" s="287"/>
      <c r="O22" s="297" t="s">
        <v>250</v>
      </c>
      <c r="P22" s="287"/>
    </row>
    <row r="23" spans="1:16" ht="16.5" customHeight="1">
      <c r="A23" s="268" t="s">
        <v>185</v>
      </c>
      <c r="B23" s="278">
        <f>'5-全新系統'!F5</f>
        <v>5</v>
      </c>
      <c r="D23" s="271" t="s">
        <v>254</v>
      </c>
      <c r="F23" s="287"/>
      <c r="G23" s="288"/>
      <c r="H23" s="290"/>
      <c r="I23" s="290"/>
      <c r="J23" s="290"/>
      <c r="K23" s="287"/>
      <c r="L23" s="287"/>
      <c r="M23" s="287"/>
      <c r="N23" s="287"/>
      <c r="O23" s="299" t="str">
        <f>"流量 "&amp;ROUND(B24,1)&amp;"LPM, 揚程 "&amp;ROUND(D24,2)&amp;"m"</f>
        <v>流量 1500LPM, 揚程 9m</v>
      </c>
      <c r="P23" s="287"/>
    </row>
    <row r="24" spans="1:16" ht="16.5" customHeight="1">
      <c r="A24" s="280">
        <v>1</v>
      </c>
      <c r="B24" s="278">
        <f>'5-全新系統'!F6</f>
        <v>1500</v>
      </c>
      <c r="D24" s="278">
        <f>$B$21+$B$22*B24^2</f>
        <v>9</v>
      </c>
      <c r="F24" s="287"/>
      <c r="G24" s="288"/>
      <c r="H24" s="290"/>
      <c r="I24" s="290"/>
      <c r="J24" s="290"/>
      <c r="K24" s="287"/>
      <c r="L24" s="287"/>
      <c r="M24" s="287"/>
      <c r="N24" s="287"/>
      <c r="O24" s="287"/>
      <c r="P24" s="287"/>
    </row>
    <row r="25" spans="1:16" ht="16.5" customHeight="1">
      <c r="A25" s="270">
        <v>0.875</v>
      </c>
      <c r="B25" s="278">
        <f>$B$24*A25</f>
        <v>1312.5</v>
      </c>
      <c r="D25" s="278">
        <f t="shared" ref="D25:D32" si="2">$B$21+$B$22*B25^2</f>
        <v>7.5</v>
      </c>
      <c r="F25" s="287"/>
      <c r="G25" s="288"/>
      <c r="H25" s="290"/>
      <c r="I25" s="290"/>
      <c r="J25" s="290"/>
      <c r="K25" s="287"/>
      <c r="L25" s="287"/>
      <c r="M25" s="287"/>
      <c r="N25" s="287"/>
      <c r="O25" s="287"/>
      <c r="P25" s="287"/>
    </row>
    <row r="26" spans="1:16" ht="16.5" customHeight="1">
      <c r="A26" s="276">
        <v>0.75</v>
      </c>
      <c r="B26" s="278">
        <f t="shared" ref="B26:B32" si="3">$B$24*A26</f>
        <v>1125</v>
      </c>
      <c r="D26" s="278">
        <f t="shared" si="2"/>
        <v>6.2</v>
      </c>
      <c r="G26" s="284"/>
      <c r="H26" s="283"/>
      <c r="I26" s="283"/>
      <c r="J26" s="283"/>
    </row>
    <row r="27" spans="1:16" ht="16.5" customHeight="1">
      <c r="A27" s="270">
        <v>0.625</v>
      </c>
      <c r="B27" s="278">
        <f t="shared" si="3"/>
        <v>937.5</v>
      </c>
      <c r="D27" s="278">
        <f t="shared" si="2"/>
        <v>5.0999999999999996</v>
      </c>
      <c r="G27" s="284"/>
      <c r="H27" s="283"/>
      <c r="I27" s="283"/>
      <c r="J27" s="283"/>
    </row>
    <row r="28" spans="1:16" ht="16.5" customHeight="1">
      <c r="A28" s="270">
        <v>0.5</v>
      </c>
      <c r="B28" s="278">
        <f t="shared" si="3"/>
        <v>750</v>
      </c>
      <c r="D28" s="278">
        <f t="shared" si="2"/>
        <v>4.2</v>
      </c>
      <c r="G28" s="284"/>
      <c r="H28" s="283"/>
      <c r="I28" s="283"/>
      <c r="J28" s="283"/>
    </row>
    <row r="29" spans="1:16" ht="16.5" customHeight="1">
      <c r="A29" s="270">
        <v>0.375</v>
      </c>
      <c r="B29" s="278">
        <f t="shared" si="3"/>
        <v>562.5</v>
      </c>
      <c r="D29" s="278">
        <f t="shared" si="2"/>
        <v>3.5</v>
      </c>
      <c r="G29" s="284"/>
      <c r="H29" s="283"/>
      <c r="I29" s="283"/>
      <c r="J29" s="283"/>
    </row>
    <row r="30" spans="1:16" ht="16.5" customHeight="1">
      <c r="A30" s="270">
        <v>0.25</v>
      </c>
      <c r="B30" s="278">
        <f t="shared" si="3"/>
        <v>375</v>
      </c>
      <c r="D30" s="278">
        <f t="shared" si="2"/>
        <v>3</v>
      </c>
      <c r="G30" s="284"/>
      <c r="H30" s="283"/>
      <c r="I30" s="283"/>
      <c r="J30" s="283"/>
    </row>
    <row r="31" spans="1:16" ht="16.5" customHeight="1">
      <c r="A31" s="270">
        <v>0.125</v>
      </c>
      <c r="B31" s="278">
        <f t="shared" si="3"/>
        <v>187.5</v>
      </c>
      <c r="D31" s="278">
        <f t="shared" si="2"/>
        <v>2.7</v>
      </c>
      <c r="G31" s="284"/>
      <c r="H31" s="283"/>
      <c r="I31" s="283"/>
      <c r="J31" s="283"/>
    </row>
    <row r="32" spans="1:16" ht="16.5" customHeight="1">
      <c r="A32" s="270">
        <v>0</v>
      </c>
      <c r="B32" s="278">
        <f t="shared" si="3"/>
        <v>0</v>
      </c>
      <c r="D32" s="278">
        <f t="shared" si="2"/>
        <v>2.6</v>
      </c>
      <c r="G32" s="284"/>
      <c r="H32" s="283"/>
      <c r="I32" s="283"/>
      <c r="J32" s="283"/>
    </row>
    <row r="33" spans="7:10" ht="16.5" customHeight="1">
      <c r="G33" s="284"/>
      <c r="H33" s="283"/>
      <c r="I33" s="283"/>
      <c r="J33" s="283"/>
    </row>
    <row r="34" spans="7:10" ht="16.5" customHeight="1">
      <c r="G34" s="284"/>
      <c r="H34" s="283"/>
      <c r="I34" s="283"/>
      <c r="J34" s="283"/>
    </row>
    <row r="35" spans="7:10" ht="16.5" customHeight="1">
      <c r="G35" s="284"/>
      <c r="H35" s="283"/>
      <c r="I35" s="283"/>
      <c r="J35" s="283"/>
    </row>
    <row r="36" spans="7:10" ht="16.5" customHeight="1">
      <c r="G36" s="284"/>
      <c r="H36" s="283"/>
      <c r="I36" s="283"/>
      <c r="J36" s="283"/>
    </row>
    <row r="37" spans="7:10" ht="16.5" customHeight="1">
      <c r="G37" s="284"/>
      <c r="H37" s="283"/>
      <c r="I37" s="283"/>
      <c r="J37" s="283"/>
    </row>
    <row r="38" spans="7:10" ht="16.5" customHeight="1">
      <c r="G38" s="284"/>
      <c r="H38" s="283"/>
      <c r="I38" s="283"/>
      <c r="J38" s="283"/>
    </row>
    <row r="39" spans="7:10" ht="16.5" customHeight="1">
      <c r="G39" s="284"/>
      <c r="H39" s="283"/>
      <c r="I39" s="283"/>
      <c r="J39" s="283"/>
    </row>
    <row r="40" spans="7:10" ht="16.5" customHeight="1">
      <c r="G40" s="284"/>
      <c r="H40" s="283"/>
      <c r="I40" s="283"/>
      <c r="J40" s="283"/>
    </row>
    <row r="41" spans="7:10" ht="16.5" customHeight="1">
      <c r="G41" s="284"/>
      <c r="H41" s="283"/>
      <c r="I41" s="283"/>
      <c r="J41" s="283"/>
    </row>
    <row r="42" spans="7:10" ht="16.5" customHeight="1">
      <c r="G42" s="284"/>
      <c r="H42" s="283"/>
      <c r="I42" s="283"/>
      <c r="J42" s="283"/>
    </row>
    <row r="43" spans="7:10" ht="16.5" customHeight="1">
      <c r="G43" s="284"/>
      <c r="H43" s="283"/>
      <c r="I43" s="283"/>
      <c r="J43" s="283"/>
    </row>
    <row r="44" spans="7:10" ht="16.5" customHeight="1">
      <c r="G44" s="284"/>
      <c r="H44" s="283"/>
      <c r="I44" s="283"/>
      <c r="J44" s="283"/>
    </row>
    <row r="45" spans="7:10" ht="16.5" customHeight="1">
      <c r="G45" s="284"/>
      <c r="H45" s="283"/>
      <c r="I45" s="283"/>
      <c r="J45" s="283"/>
    </row>
    <row r="46" spans="7:10" ht="16.5" customHeight="1">
      <c r="G46" s="284"/>
      <c r="H46" s="283"/>
      <c r="I46" s="283"/>
      <c r="J46" s="283"/>
    </row>
    <row r="47" spans="7:10" ht="16.5" customHeight="1">
      <c r="G47" s="284"/>
      <c r="H47" s="283"/>
      <c r="I47" s="283"/>
      <c r="J47" s="283"/>
    </row>
    <row r="48" spans="7:10" ht="16.5" customHeight="1">
      <c r="G48" s="284"/>
      <c r="H48" s="283"/>
      <c r="I48" s="283"/>
      <c r="J48" s="283"/>
    </row>
    <row r="49" spans="7:10" ht="16.5" customHeight="1">
      <c r="G49" s="284"/>
      <c r="H49" s="283"/>
      <c r="I49" s="283"/>
      <c r="J49" s="283"/>
    </row>
    <row r="50" spans="7:10" ht="16.5" customHeight="1">
      <c r="G50" s="284"/>
      <c r="H50" s="283"/>
      <c r="I50" s="283"/>
      <c r="J50" s="283"/>
    </row>
    <row r="51" spans="7:10" ht="16.5" customHeight="1">
      <c r="G51" s="284"/>
      <c r="H51" s="283"/>
      <c r="I51" s="283"/>
      <c r="J51" s="283"/>
    </row>
    <row r="52" spans="7:10" ht="16.5" customHeight="1">
      <c r="G52" s="284"/>
      <c r="H52" s="283"/>
      <c r="I52" s="283"/>
      <c r="J52" s="283"/>
    </row>
    <row r="53" spans="7:10" ht="16.5" customHeight="1">
      <c r="G53" s="284"/>
      <c r="H53" s="283"/>
      <c r="I53" s="283"/>
      <c r="J53" s="283"/>
    </row>
    <row r="54" spans="7:10" ht="16.5" customHeight="1">
      <c r="G54" s="284"/>
      <c r="H54" s="283"/>
      <c r="I54" s="283"/>
      <c r="J54" s="283"/>
    </row>
    <row r="55" spans="7:10" ht="16.5" customHeight="1">
      <c r="G55" s="284"/>
      <c r="H55" s="283"/>
      <c r="I55" s="283"/>
      <c r="J55" s="283"/>
    </row>
    <row r="56" spans="7:10" ht="16.5" customHeight="1">
      <c r="G56" s="284"/>
      <c r="H56" s="283"/>
      <c r="I56" s="283"/>
      <c r="J56" s="283"/>
    </row>
    <row r="57" spans="7:10" ht="16.5" customHeight="1">
      <c r="G57" s="284"/>
      <c r="H57" s="283"/>
      <c r="I57" s="283"/>
      <c r="J57" s="283"/>
    </row>
    <row r="58" spans="7:10" ht="16.5" customHeight="1">
      <c r="G58" s="284"/>
      <c r="H58" s="283"/>
      <c r="I58" s="283"/>
      <c r="J58" s="283"/>
    </row>
    <row r="59" spans="7:10" ht="16.5" customHeight="1">
      <c r="G59" s="284"/>
      <c r="H59" s="283"/>
      <c r="I59" s="283"/>
      <c r="J59" s="283"/>
    </row>
    <row r="60" spans="7:10" ht="16.5" customHeight="1">
      <c r="G60" s="284"/>
      <c r="H60" s="283"/>
      <c r="I60" s="283"/>
      <c r="J60" s="283"/>
    </row>
    <row r="61" spans="7:10" ht="16.5" customHeight="1">
      <c r="G61" s="284"/>
      <c r="H61" s="283"/>
      <c r="I61" s="283"/>
      <c r="J61" s="283"/>
    </row>
    <row r="62" spans="7:10" ht="16.5" customHeight="1">
      <c r="G62" s="284"/>
      <c r="H62" s="283"/>
      <c r="I62" s="283"/>
      <c r="J62" s="283"/>
    </row>
    <row r="63" spans="7:10" ht="16.5" customHeight="1">
      <c r="G63" s="284"/>
      <c r="H63" s="283"/>
      <c r="I63" s="283"/>
      <c r="J63" s="283"/>
    </row>
    <row r="64" spans="7:10" ht="16.5" customHeight="1">
      <c r="G64" s="284"/>
      <c r="H64" s="283"/>
      <c r="I64" s="283"/>
      <c r="J64" s="283"/>
    </row>
    <row r="65" spans="7:10" ht="16.5" customHeight="1">
      <c r="G65" s="284"/>
      <c r="H65" s="283"/>
      <c r="I65" s="283"/>
      <c r="J65" s="283"/>
    </row>
    <row r="66" spans="7:10" ht="16.5" customHeight="1">
      <c r="G66" s="284"/>
      <c r="H66" s="283"/>
      <c r="I66" s="283"/>
      <c r="J66" s="283"/>
    </row>
    <row r="67" spans="7:10" ht="16.5" customHeight="1">
      <c r="G67" s="284"/>
      <c r="H67" s="283"/>
      <c r="I67" s="283"/>
      <c r="J67" s="283"/>
    </row>
    <row r="68" spans="7:10" ht="16.5" customHeight="1">
      <c r="G68" s="284"/>
      <c r="H68" s="283"/>
      <c r="I68" s="283"/>
      <c r="J68" s="283"/>
    </row>
    <row r="69" spans="7:10" ht="16.5" customHeight="1">
      <c r="G69" s="284"/>
      <c r="H69" s="283"/>
      <c r="I69" s="283"/>
      <c r="J69" s="283"/>
    </row>
    <row r="70" spans="7:10" ht="16.5" customHeight="1">
      <c r="G70" s="284"/>
      <c r="H70" s="283"/>
      <c r="I70" s="283"/>
      <c r="J70" s="283"/>
    </row>
    <row r="71" spans="7:10" ht="16.5" customHeight="1">
      <c r="G71" s="284"/>
      <c r="H71" s="283"/>
      <c r="I71" s="283"/>
      <c r="J71" s="283"/>
    </row>
    <row r="72" spans="7:10" ht="16.5" customHeight="1">
      <c r="G72" s="284"/>
      <c r="H72" s="283"/>
      <c r="I72" s="283"/>
      <c r="J72" s="283"/>
    </row>
    <row r="73" spans="7:10" ht="16.5" customHeight="1">
      <c r="G73" s="284"/>
      <c r="H73" s="283"/>
      <c r="I73" s="283"/>
      <c r="J73" s="283"/>
    </row>
    <row r="74" spans="7:10" ht="16.5" customHeight="1">
      <c r="G74" s="284"/>
      <c r="H74" s="283"/>
      <c r="I74" s="283"/>
      <c r="J74" s="283"/>
    </row>
    <row r="75" spans="7:10" ht="16.5" customHeight="1">
      <c r="G75" s="284"/>
      <c r="H75" s="283"/>
      <c r="I75" s="283"/>
      <c r="J75" s="283"/>
    </row>
    <row r="76" spans="7:10" ht="16.5" customHeight="1">
      <c r="G76" s="284"/>
      <c r="H76" s="283"/>
      <c r="I76" s="283"/>
      <c r="J76" s="283"/>
    </row>
    <row r="77" spans="7:10" ht="16.5" customHeight="1">
      <c r="G77" s="284"/>
      <c r="H77" s="283"/>
      <c r="I77" s="283"/>
      <c r="J77" s="283"/>
    </row>
    <row r="78" spans="7:10" ht="16.5" customHeight="1">
      <c r="G78" s="284"/>
      <c r="H78" s="283"/>
      <c r="I78" s="283"/>
      <c r="J78" s="283"/>
    </row>
    <row r="79" spans="7:10" ht="16.5" customHeight="1">
      <c r="G79" s="284"/>
      <c r="H79" s="283"/>
      <c r="I79" s="283"/>
      <c r="J79" s="283"/>
    </row>
    <row r="80" spans="7:10" ht="16.5" customHeight="1">
      <c r="G80" s="284"/>
      <c r="H80" s="283"/>
      <c r="I80" s="283"/>
      <c r="J80" s="283"/>
    </row>
    <row r="81" spans="7:10" ht="16.5" customHeight="1">
      <c r="G81" s="284"/>
      <c r="H81" s="283"/>
      <c r="I81" s="283"/>
      <c r="J81" s="283"/>
    </row>
    <row r="82" spans="7:10" ht="16.5" customHeight="1">
      <c r="G82" s="284"/>
      <c r="H82" s="283"/>
      <c r="I82" s="283"/>
      <c r="J82" s="283"/>
    </row>
    <row r="83" spans="7:10" ht="16.5" customHeight="1">
      <c r="G83" s="284"/>
      <c r="H83" s="283"/>
      <c r="I83" s="283"/>
      <c r="J83" s="283"/>
    </row>
    <row r="84" spans="7:10" ht="16.5" customHeight="1">
      <c r="G84" s="284"/>
      <c r="H84" s="283"/>
      <c r="I84" s="283"/>
      <c r="J84" s="283"/>
    </row>
    <row r="85" spans="7:10" ht="16.5" customHeight="1">
      <c r="G85" s="284"/>
      <c r="H85" s="283"/>
      <c r="I85" s="283"/>
      <c r="J85" s="283"/>
    </row>
    <row r="86" spans="7:10" ht="16.5" customHeight="1">
      <c r="G86" s="284"/>
      <c r="H86" s="283"/>
      <c r="I86" s="283"/>
      <c r="J86" s="283"/>
    </row>
    <row r="87" spans="7:10" ht="16.5" customHeight="1">
      <c r="G87" s="284"/>
      <c r="H87" s="283"/>
      <c r="I87" s="283"/>
      <c r="J87" s="283"/>
    </row>
    <row r="88" spans="7:10" ht="16.5" customHeight="1">
      <c r="G88" s="284"/>
      <c r="H88" s="283"/>
      <c r="I88" s="283"/>
      <c r="J88" s="283"/>
    </row>
    <row r="89" spans="7:10" ht="16.5" customHeight="1">
      <c r="G89" s="284"/>
      <c r="H89" s="283"/>
      <c r="I89" s="283"/>
      <c r="J89" s="283"/>
    </row>
    <row r="90" spans="7:10" ht="16.5" customHeight="1">
      <c r="G90" s="284"/>
      <c r="H90" s="283"/>
      <c r="I90" s="283"/>
      <c r="J90" s="283"/>
    </row>
    <row r="91" spans="7:10" ht="16.5" customHeight="1">
      <c r="G91" s="284"/>
      <c r="H91" s="283"/>
      <c r="I91" s="283"/>
      <c r="J91" s="283"/>
    </row>
    <row r="92" spans="7:10" ht="16.5" customHeight="1">
      <c r="G92" s="284"/>
      <c r="H92" s="283"/>
      <c r="I92" s="283"/>
      <c r="J92" s="283"/>
    </row>
    <row r="93" spans="7:10" ht="16.5" customHeight="1">
      <c r="G93" s="284"/>
      <c r="H93" s="283"/>
      <c r="I93" s="283"/>
      <c r="J93" s="283"/>
    </row>
    <row r="94" spans="7:10" ht="16.5" customHeight="1">
      <c r="G94" s="284"/>
      <c r="H94" s="283"/>
      <c r="I94" s="283"/>
      <c r="J94" s="283"/>
    </row>
    <row r="95" spans="7:10" ht="16.5" customHeight="1">
      <c r="G95" s="284"/>
      <c r="H95" s="283"/>
      <c r="I95" s="283"/>
      <c r="J95" s="283"/>
    </row>
    <row r="96" spans="7:10" ht="16.5" customHeight="1">
      <c r="G96" s="284"/>
      <c r="H96" s="283"/>
      <c r="I96" s="283"/>
      <c r="J96" s="283"/>
    </row>
    <row r="97" spans="7:10" ht="16.5" customHeight="1">
      <c r="G97" s="284"/>
      <c r="H97" s="283"/>
      <c r="I97" s="283"/>
      <c r="J97" s="283"/>
    </row>
    <row r="98" spans="7:10" ht="16.5" customHeight="1">
      <c r="G98" s="284"/>
      <c r="H98" s="283"/>
      <c r="I98" s="283"/>
      <c r="J98" s="283"/>
    </row>
    <row r="99" spans="7:10" ht="16.5" customHeight="1">
      <c r="G99" s="284"/>
      <c r="H99" s="283"/>
      <c r="I99" s="283"/>
      <c r="J99" s="283"/>
    </row>
    <row r="100" spans="7:10" ht="16.5" customHeight="1">
      <c r="G100" s="284"/>
      <c r="H100" s="283"/>
      <c r="I100" s="283"/>
      <c r="J100" s="283"/>
    </row>
  </sheetData>
  <sheetProtection selectLockedCells="1"/>
  <mergeCells count="1">
    <mergeCell ref="A20:D20"/>
  </mergeCells>
  <phoneticPr fontId="21" type="noConversion"/>
  <pageMargins left="0.7" right="0.7" top="0.75" bottom="0.75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1"/>
  <sheetViews>
    <sheetView tabSelected="1" workbookViewId="0">
      <selection activeCell="L24" sqref="L24"/>
    </sheetView>
  </sheetViews>
  <sheetFormatPr defaultColWidth="12.625" defaultRowHeight="15" customHeight="1"/>
  <cols>
    <col min="1" max="1" width="9.125" style="265" customWidth="1"/>
    <col min="2" max="2" width="22.5" style="265" bestFit="1" customWidth="1"/>
    <col min="3" max="3" width="11.875" style="278" bestFit="1" customWidth="1"/>
    <col min="4" max="4" width="8.125" style="265" bestFit="1" customWidth="1"/>
    <col min="5" max="5" width="8.375" style="282" customWidth="1"/>
    <col min="6" max="6" width="10.875" style="282" customWidth="1"/>
    <col min="7" max="13" width="10.25" style="282" customWidth="1"/>
    <col min="14" max="14" width="28.125" style="282" customWidth="1"/>
    <col min="15" max="15" width="10.25" style="282" customWidth="1"/>
    <col min="16" max="16" width="6.625" style="282" customWidth="1"/>
    <col min="17" max="24" width="10.25" style="265" customWidth="1"/>
    <col min="25" max="16384" width="12.625" style="265"/>
  </cols>
  <sheetData>
    <row r="1" spans="1:15" ht="16.5" customHeight="1">
      <c r="A1" s="308">
        <f>MAX(C1:C4)</f>
        <v>1629.940160975319</v>
      </c>
      <c r="B1" s="309" t="s">
        <v>38</v>
      </c>
      <c r="C1" s="315">
        <f>'1.2-系統量測數據計算'!G6</f>
        <v>1629.940160975319</v>
      </c>
      <c r="D1" s="273" t="s">
        <v>180</v>
      </c>
      <c r="F1" s="290"/>
      <c r="G1" s="287"/>
      <c r="H1" s="287"/>
      <c r="I1" s="287"/>
      <c r="J1" s="287"/>
      <c r="K1" s="287"/>
      <c r="L1" s="287"/>
      <c r="M1" s="287"/>
      <c r="N1" s="287"/>
      <c r="O1" s="287"/>
    </row>
    <row r="2" spans="1:15" ht="16.5" customHeight="1">
      <c r="A2" s="309"/>
      <c r="B2" s="309" t="s">
        <v>181</v>
      </c>
      <c r="C2" s="315">
        <f>'2-現況修正回溫差5℃'!F13</f>
        <v>1499.5449480972941</v>
      </c>
      <c r="D2" s="270" t="s">
        <v>238</v>
      </c>
      <c r="F2" s="290"/>
      <c r="G2" s="287"/>
      <c r="H2" s="287"/>
      <c r="I2" s="287"/>
      <c r="J2" s="287"/>
      <c r="K2" s="287"/>
      <c r="L2" s="287"/>
      <c r="M2" s="287"/>
      <c r="N2" s="287"/>
      <c r="O2" s="287"/>
    </row>
    <row r="3" spans="1:15" ht="16.5" customHeight="1">
      <c r="A3" s="309"/>
      <c r="B3" s="309" t="s">
        <v>188</v>
      </c>
      <c r="C3" s="315">
        <f>'3-修回溫差5℃+功率100%'!F15</f>
        <v>1454.8546842094502</v>
      </c>
      <c r="D3" s="270" t="s">
        <v>239</v>
      </c>
      <c r="F3" s="290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6.5" customHeight="1">
      <c r="A4" s="313"/>
      <c r="B4" s="309" t="s">
        <v>183</v>
      </c>
      <c r="C4" s="315">
        <f>'4-更新冰機+泵浦+舊管路'!F9</f>
        <v>1500</v>
      </c>
      <c r="D4" s="270" t="s">
        <v>241</v>
      </c>
      <c r="F4" s="290"/>
      <c r="G4" s="287"/>
      <c r="H4" s="287"/>
      <c r="I4" s="287"/>
      <c r="J4" s="287"/>
      <c r="K4" s="287"/>
      <c r="L4" s="287"/>
      <c r="M4" s="287"/>
      <c r="N4" s="287"/>
      <c r="O4" s="287"/>
    </row>
    <row r="5" spans="1:15" ht="16.5" customHeight="1">
      <c r="A5" s="313"/>
      <c r="B5" s="309" t="s">
        <v>189</v>
      </c>
      <c r="C5" s="315">
        <f>'4-更新冰機+泵浦+舊管路'!F3</f>
        <v>2.6</v>
      </c>
      <c r="D5" s="308"/>
      <c r="F5" s="290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16.5" customHeight="1">
      <c r="A6" s="309"/>
      <c r="B6" s="309" t="s">
        <v>184</v>
      </c>
      <c r="C6" s="279">
        <f>'4-更新冰機+泵浦+舊管路'!F4</f>
        <v>4.4980531606781368E-6</v>
      </c>
      <c r="D6" s="317"/>
      <c r="F6" s="290"/>
      <c r="G6" s="287"/>
      <c r="H6" s="287"/>
      <c r="I6" s="287"/>
      <c r="J6" s="287"/>
      <c r="K6" s="287"/>
      <c r="L6" s="287"/>
      <c r="M6" s="287"/>
      <c r="N6" s="295" t="s">
        <v>246</v>
      </c>
      <c r="O6" s="287"/>
    </row>
    <row r="7" spans="1:15" ht="16.5" customHeight="1">
      <c r="A7" s="309"/>
      <c r="B7" s="314" t="s">
        <v>185</v>
      </c>
      <c r="C7" s="315">
        <f>'1.2-系統量測數據計算'!G8</f>
        <v>4.6000000000000014</v>
      </c>
      <c r="D7" s="317"/>
      <c r="F7" s="290"/>
      <c r="G7" s="287"/>
      <c r="H7" s="287"/>
      <c r="I7" s="287"/>
      <c r="J7" s="287"/>
      <c r="K7" s="287"/>
      <c r="L7" s="287"/>
      <c r="M7" s="287"/>
      <c r="N7" s="299" t="str">
        <f>"流量 "&amp;ROUND(C9,1)&amp;"LPM, 揚程 "&amp;ROUND(D9,2)&amp;"m"</f>
        <v>流量 1629.9LPM, 揚程 14.55m</v>
      </c>
      <c r="O7" s="287"/>
    </row>
    <row r="8" spans="1:15" ht="16.5" customHeight="1">
      <c r="A8" s="413" t="s">
        <v>190</v>
      </c>
      <c r="B8" s="413"/>
      <c r="C8" s="278" t="s">
        <v>96</v>
      </c>
      <c r="D8" s="316" t="s">
        <v>187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spans="1:15" ht="16.5" customHeight="1">
      <c r="A9" s="309"/>
      <c r="B9" s="318"/>
      <c r="C9" s="315">
        <f t="shared" ref="C9" si="0">C1</f>
        <v>1629.940160975319</v>
      </c>
      <c r="D9" s="315">
        <f>$C$6*(C9^2)+$C$5</f>
        <v>14.55</v>
      </c>
      <c r="F9" s="287"/>
      <c r="G9" s="287"/>
      <c r="H9" s="287"/>
      <c r="I9" s="287"/>
      <c r="J9" s="287"/>
      <c r="K9" s="287"/>
      <c r="L9" s="287"/>
      <c r="M9" s="287"/>
      <c r="N9" s="301" t="s">
        <v>247</v>
      </c>
      <c r="O9" s="287"/>
    </row>
    <row r="10" spans="1:15" ht="16.5" customHeight="1">
      <c r="A10" s="309"/>
      <c r="B10" s="318"/>
      <c r="C10" s="315">
        <v>1500</v>
      </c>
      <c r="D10" s="315">
        <f t="shared" ref="D10:D20" si="1">$C$6*(C10^2)+$C$5</f>
        <v>12.720619611525807</v>
      </c>
      <c r="F10" s="287"/>
      <c r="G10" s="287"/>
      <c r="H10" s="287"/>
      <c r="I10" s="287"/>
      <c r="J10" s="287"/>
      <c r="K10" s="287"/>
      <c r="L10" s="287"/>
      <c r="M10" s="287"/>
      <c r="N10" s="299" t="str">
        <f>"流量 "&amp;ROUND(C11,1)&amp;"LPM, 揚程 "&amp;ROUND(D11,2)&amp;"m"</f>
        <v>流量 1499.5LPM, 揚程 12.71m</v>
      </c>
      <c r="O10" s="287"/>
    </row>
    <row r="11" spans="1:15" ht="16.5" customHeight="1">
      <c r="A11" s="317"/>
      <c r="B11" s="308"/>
      <c r="C11" s="315">
        <f>C2</f>
        <v>1499.5449480972941</v>
      </c>
      <c r="D11" s="315">
        <f t="shared" si="1"/>
        <v>12.714480000000007</v>
      </c>
      <c r="F11" s="287"/>
      <c r="G11" s="287"/>
      <c r="H11" s="287"/>
      <c r="I11" s="287"/>
      <c r="J11" s="287"/>
      <c r="K11" s="287"/>
      <c r="L11" s="287"/>
      <c r="M11" s="287"/>
      <c r="N11" s="287"/>
      <c r="O11" s="287"/>
    </row>
    <row r="12" spans="1:15" ht="16.5" customHeight="1">
      <c r="A12" s="309"/>
      <c r="B12" s="308"/>
      <c r="C12" s="315">
        <f>C3</f>
        <v>1454.8546842094502</v>
      </c>
      <c r="D12" s="315">
        <f t="shared" si="1"/>
        <v>12.120589000449227</v>
      </c>
      <c r="F12" s="287"/>
      <c r="G12" s="287"/>
      <c r="H12" s="287"/>
      <c r="I12" s="287"/>
      <c r="J12" s="287"/>
      <c r="K12" s="287"/>
      <c r="L12" s="287"/>
      <c r="M12" s="287"/>
      <c r="N12" s="301" t="s">
        <v>249</v>
      </c>
      <c r="O12" s="287"/>
    </row>
    <row r="13" spans="1:15" ht="16.5" customHeight="1">
      <c r="A13" s="317">
        <v>8</v>
      </c>
      <c r="B13" s="308">
        <v>0.875</v>
      </c>
      <c r="C13" s="278">
        <f>ROUNDDOWN($C$9,-2)*B13</f>
        <v>1400</v>
      </c>
      <c r="D13" s="315">
        <f t="shared" si="1"/>
        <v>11.416184194929148</v>
      </c>
      <c r="F13" s="287"/>
      <c r="G13" s="287"/>
      <c r="H13" s="287"/>
      <c r="I13" s="287"/>
      <c r="J13" s="287"/>
      <c r="K13" s="287"/>
      <c r="L13" s="287"/>
      <c r="M13" s="287"/>
      <c r="N13" s="299" t="str">
        <f>"流量 "&amp;ROUND(C12,1)&amp;"LPM, 揚程 "&amp;ROUND(D12,2)&amp;"m"</f>
        <v>流量 1454.9LPM, 揚程 12.12m</v>
      </c>
      <c r="O13" s="287"/>
    </row>
    <row r="14" spans="1:15" ht="16.5" customHeight="1">
      <c r="A14" s="317">
        <v>7</v>
      </c>
      <c r="B14" s="308">
        <v>0.75</v>
      </c>
      <c r="C14" s="278">
        <f>ROUNDDOWN($C$1,-2)*B14</f>
        <v>1200</v>
      </c>
      <c r="D14" s="315">
        <f t="shared" si="1"/>
        <v>9.0771965513765167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</row>
    <row r="15" spans="1:15" ht="16.5" customHeight="1">
      <c r="A15" s="317">
        <v>6</v>
      </c>
      <c r="B15" s="308">
        <v>0.625</v>
      </c>
      <c r="C15" s="278">
        <f t="shared" ref="C15:C20" si="2">ROUNDDOWN($C$4,-2)*B15</f>
        <v>937.5</v>
      </c>
      <c r="D15" s="315">
        <f t="shared" si="1"/>
        <v>6.5533670357522684</v>
      </c>
      <c r="F15" s="287"/>
      <c r="G15" s="287"/>
      <c r="H15" s="287"/>
      <c r="I15" s="287"/>
      <c r="J15" s="287"/>
      <c r="K15" s="287"/>
      <c r="L15" s="287"/>
      <c r="M15" s="287"/>
      <c r="N15" s="301" t="s">
        <v>251</v>
      </c>
      <c r="O15" s="287"/>
    </row>
    <row r="16" spans="1:15" ht="16.5" customHeight="1">
      <c r="A16" s="317">
        <v>5</v>
      </c>
      <c r="B16" s="308">
        <v>0.5</v>
      </c>
      <c r="C16" s="278">
        <f t="shared" si="2"/>
        <v>750</v>
      </c>
      <c r="D16" s="315">
        <f t="shared" si="1"/>
        <v>5.1301549028814524</v>
      </c>
      <c r="F16" s="287"/>
      <c r="G16" s="287"/>
      <c r="H16" s="287"/>
      <c r="I16" s="287"/>
      <c r="J16" s="287"/>
      <c r="K16" s="287"/>
      <c r="L16" s="287"/>
      <c r="M16" s="287"/>
      <c r="N16" s="299" t="str">
        <f>"流量 "&amp;ROUND(C10,1)&amp;"LPM, 揚程 "&amp;ROUND(D10,2)&amp;"m"</f>
        <v>流量 1500LPM, 揚程 12.72m</v>
      </c>
      <c r="O16" s="287"/>
    </row>
    <row r="17" spans="1:15" ht="16.5" customHeight="1">
      <c r="A17" s="317">
        <v>4</v>
      </c>
      <c r="B17" s="308">
        <v>0.375</v>
      </c>
      <c r="C17" s="278">
        <f t="shared" si="2"/>
        <v>562.5</v>
      </c>
      <c r="D17" s="315">
        <f t="shared" si="1"/>
        <v>4.0232121328708166</v>
      </c>
      <c r="F17" s="287"/>
      <c r="G17" s="287"/>
      <c r="H17" s="287"/>
      <c r="I17" s="287"/>
      <c r="J17" s="287"/>
      <c r="K17" s="287"/>
      <c r="L17" s="287"/>
      <c r="M17" s="287"/>
      <c r="N17" s="287"/>
      <c r="O17" s="287"/>
    </row>
    <row r="18" spans="1:15" ht="16.5" customHeight="1">
      <c r="A18" s="317">
        <v>3</v>
      </c>
      <c r="B18" s="308">
        <v>0.25</v>
      </c>
      <c r="C18" s="278">
        <f t="shared" si="2"/>
        <v>375</v>
      </c>
      <c r="D18" s="315">
        <f t="shared" si="1"/>
        <v>3.2325387257203628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</row>
    <row r="19" spans="1:15" ht="16.5" customHeight="1">
      <c r="A19" s="317">
        <v>2</v>
      </c>
      <c r="B19" s="308">
        <v>0.125</v>
      </c>
      <c r="C19" s="278">
        <f t="shared" si="2"/>
        <v>187.5</v>
      </c>
      <c r="D19" s="315">
        <f t="shared" si="1"/>
        <v>2.7581346814300907</v>
      </c>
      <c r="F19" s="287"/>
      <c r="G19" s="287"/>
      <c r="H19" s="287"/>
      <c r="I19" s="287"/>
      <c r="J19" s="287"/>
      <c r="K19" s="287"/>
      <c r="L19" s="287"/>
      <c r="M19" s="287"/>
      <c r="N19" s="287"/>
      <c r="O19" s="287"/>
    </row>
    <row r="20" spans="1:15" ht="16.5" customHeight="1">
      <c r="A20" s="317">
        <v>1</v>
      </c>
      <c r="B20" s="308">
        <v>0</v>
      </c>
      <c r="C20" s="278">
        <f t="shared" si="2"/>
        <v>0</v>
      </c>
      <c r="D20" s="315">
        <f t="shared" si="1"/>
        <v>2.6</v>
      </c>
      <c r="F20" s="287"/>
      <c r="G20" s="287"/>
      <c r="H20" s="287"/>
      <c r="I20" s="287"/>
      <c r="J20" s="287"/>
      <c r="K20" s="287"/>
      <c r="L20" s="287"/>
      <c r="M20" s="287"/>
      <c r="N20" s="287"/>
      <c r="O20" s="287"/>
    </row>
    <row r="21" spans="1:15" ht="16.5" customHeight="1">
      <c r="A21" s="309"/>
      <c r="B21" s="308"/>
      <c r="C21" s="315"/>
      <c r="D21" s="308"/>
      <c r="F21" s="287"/>
      <c r="G21" s="287"/>
      <c r="H21" s="287"/>
      <c r="I21" s="287"/>
      <c r="J21" s="287"/>
      <c r="K21" s="287"/>
      <c r="L21" s="287"/>
      <c r="M21" s="287"/>
      <c r="N21" s="287"/>
      <c r="O21" s="287"/>
    </row>
    <row r="22" spans="1:15" ht="16.5" customHeight="1">
      <c r="A22" s="309"/>
      <c r="B22" s="308"/>
      <c r="C22" s="315"/>
      <c r="D22" s="308"/>
    </row>
    <row r="23" spans="1:15" ht="16.5" customHeight="1">
      <c r="A23" s="309"/>
      <c r="B23" s="308"/>
      <c r="C23" s="315"/>
      <c r="D23" s="308"/>
    </row>
    <row r="24" spans="1:15" ht="16.5" customHeight="1">
      <c r="A24" s="309"/>
      <c r="B24" s="308"/>
      <c r="C24" s="315"/>
      <c r="D24" s="308"/>
    </row>
    <row r="25" spans="1:15" ht="16.5" customHeight="1">
      <c r="A25" s="309"/>
      <c r="B25" s="308"/>
      <c r="C25" s="315"/>
      <c r="D25" s="308"/>
    </row>
    <row r="26" spans="1:15" ht="16.5" customHeight="1">
      <c r="A26" s="309"/>
      <c r="B26" s="308"/>
      <c r="C26" s="315"/>
      <c r="D26" s="308"/>
    </row>
    <row r="27" spans="1:15" ht="16.5" customHeight="1">
      <c r="A27" s="309"/>
      <c r="B27" s="308"/>
      <c r="C27" s="315"/>
      <c r="D27" s="308"/>
    </row>
    <row r="28" spans="1:15" ht="16.5" customHeight="1">
      <c r="A28" s="309"/>
      <c r="B28" s="308"/>
      <c r="C28" s="315"/>
      <c r="D28" s="308"/>
    </row>
    <row r="29" spans="1:15" ht="16.5" customHeight="1">
      <c r="A29" s="309"/>
      <c r="B29" s="308"/>
      <c r="C29" s="315"/>
      <c r="D29" s="308"/>
    </row>
    <row r="30" spans="1:15" ht="16.5" customHeight="1">
      <c r="A30" s="309"/>
      <c r="B30" s="308"/>
      <c r="C30" s="315"/>
      <c r="D30" s="308"/>
    </row>
    <row r="31" spans="1:15" ht="16.5" customHeight="1">
      <c r="A31" s="309"/>
      <c r="B31" s="308"/>
      <c r="C31" s="315"/>
      <c r="D31" s="308"/>
    </row>
    <row r="32" spans="1:15" ht="16.5" customHeight="1">
      <c r="A32" s="309"/>
      <c r="B32" s="308"/>
      <c r="C32" s="315"/>
      <c r="D32" s="308"/>
    </row>
    <row r="33" spans="1:4" ht="16.5" customHeight="1">
      <c r="A33" s="309"/>
      <c r="B33" s="308"/>
      <c r="C33" s="315"/>
      <c r="D33" s="308"/>
    </row>
    <row r="34" spans="1:4" ht="16.5" customHeight="1">
      <c r="A34" s="309"/>
      <c r="B34" s="308"/>
      <c r="C34" s="315"/>
      <c r="D34" s="308"/>
    </row>
    <row r="35" spans="1:4" ht="16.5" customHeight="1">
      <c r="A35" s="309"/>
      <c r="B35" s="308"/>
      <c r="C35" s="315"/>
      <c r="D35" s="308"/>
    </row>
    <row r="36" spans="1:4" ht="16.5" customHeight="1">
      <c r="A36" s="309"/>
      <c r="B36" s="308"/>
      <c r="C36" s="315"/>
      <c r="D36" s="308"/>
    </row>
    <row r="37" spans="1:4" ht="16.5" customHeight="1">
      <c r="A37" s="309"/>
      <c r="B37" s="308"/>
      <c r="C37" s="315"/>
      <c r="D37" s="308"/>
    </row>
    <row r="38" spans="1:4" ht="16.5" customHeight="1">
      <c r="A38" s="309"/>
      <c r="B38" s="308"/>
      <c r="C38" s="315"/>
      <c r="D38" s="308"/>
    </row>
    <row r="39" spans="1:4" ht="16.5" customHeight="1">
      <c r="A39" s="309"/>
      <c r="B39" s="308"/>
      <c r="C39" s="315"/>
      <c r="D39" s="308"/>
    </row>
    <row r="40" spans="1:4" ht="16.5" customHeight="1">
      <c r="A40" s="309"/>
      <c r="B40" s="308"/>
      <c r="C40" s="315"/>
      <c r="D40" s="308"/>
    </row>
    <row r="41" spans="1:4" ht="16.5" customHeight="1">
      <c r="A41" s="309"/>
      <c r="B41" s="308"/>
      <c r="C41" s="315"/>
      <c r="D41" s="308"/>
    </row>
    <row r="42" spans="1:4" ht="16.5" customHeight="1">
      <c r="A42" s="309"/>
      <c r="B42" s="308"/>
      <c r="C42" s="315"/>
      <c r="D42" s="308"/>
    </row>
    <row r="43" spans="1:4" ht="16.5" customHeight="1">
      <c r="A43" s="309"/>
      <c r="B43" s="308"/>
      <c r="C43" s="315"/>
      <c r="D43" s="308"/>
    </row>
    <row r="44" spans="1:4" ht="16.5" customHeight="1">
      <c r="A44" s="309"/>
      <c r="B44" s="308"/>
      <c r="C44" s="315"/>
      <c r="D44" s="308"/>
    </row>
    <row r="45" spans="1:4" ht="16.5" customHeight="1">
      <c r="A45" s="309"/>
      <c r="B45" s="308"/>
      <c r="C45" s="315"/>
      <c r="D45" s="308"/>
    </row>
    <row r="46" spans="1:4" ht="16.5" customHeight="1">
      <c r="A46" s="309"/>
      <c r="B46" s="308"/>
      <c r="C46" s="315"/>
      <c r="D46" s="308"/>
    </row>
    <row r="47" spans="1:4" ht="16.5" customHeight="1">
      <c r="A47" s="309"/>
      <c r="B47" s="308"/>
      <c r="C47" s="315"/>
      <c r="D47" s="308"/>
    </row>
    <row r="48" spans="1:4" ht="16.5" customHeight="1">
      <c r="A48" s="309"/>
      <c r="B48" s="308"/>
      <c r="C48" s="315"/>
      <c r="D48" s="308"/>
    </row>
    <row r="49" spans="1:4" ht="16.5" customHeight="1">
      <c r="A49" s="309"/>
      <c r="B49" s="308"/>
      <c r="C49" s="315"/>
      <c r="D49" s="308"/>
    </row>
    <row r="50" spans="1:4" ht="16.5" customHeight="1">
      <c r="A50" s="309"/>
      <c r="B50" s="308"/>
      <c r="C50" s="315"/>
      <c r="D50" s="308"/>
    </row>
    <row r="51" spans="1:4" ht="16.5" customHeight="1">
      <c r="A51" s="309"/>
      <c r="B51" s="308"/>
      <c r="C51" s="315"/>
      <c r="D51" s="308"/>
    </row>
    <row r="52" spans="1:4" ht="16.5" customHeight="1">
      <c r="A52" s="309"/>
      <c r="B52" s="308"/>
      <c r="C52" s="315"/>
      <c r="D52" s="308"/>
    </row>
    <row r="53" spans="1:4" ht="16.5" customHeight="1">
      <c r="A53" s="309"/>
      <c r="B53" s="308"/>
      <c r="C53" s="315"/>
      <c r="D53" s="308"/>
    </row>
    <row r="54" spans="1:4" ht="16.5" customHeight="1">
      <c r="A54" s="309"/>
      <c r="B54" s="308"/>
      <c r="C54" s="315"/>
      <c r="D54" s="308"/>
    </row>
    <row r="55" spans="1:4" ht="16.5" customHeight="1">
      <c r="A55" s="309"/>
      <c r="B55" s="308"/>
      <c r="C55" s="315"/>
      <c r="D55" s="308"/>
    </row>
    <row r="56" spans="1:4" ht="16.5" customHeight="1">
      <c r="A56" s="309"/>
      <c r="B56" s="308"/>
      <c r="C56" s="315"/>
      <c r="D56" s="308"/>
    </row>
    <row r="57" spans="1:4" ht="16.5" customHeight="1">
      <c r="A57" s="309"/>
      <c r="B57" s="308"/>
      <c r="C57" s="315"/>
      <c r="D57" s="308"/>
    </row>
    <row r="58" spans="1:4" ht="16.5" customHeight="1">
      <c r="A58" s="309"/>
      <c r="B58" s="308"/>
      <c r="C58" s="315"/>
      <c r="D58" s="308"/>
    </row>
    <row r="59" spans="1:4" ht="16.5" customHeight="1">
      <c r="A59" s="309"/>
      <c r="B59" s="308"/>
      <c r="C59" s="315"/>
      <c r="D59" s="308"/>
    </row>
    <row r="60" spans="1:4" ht="16.5" customHeight="1">
      <c r="A60" s="309"/>
      <c r="B60" s="308"/>
      <c r="C60" s="315"/>
      <c r="D60" s="308"/>
    </row>
    <row r="61" spans="1:4" ht="16.5" customHeight="1">
      <c r="A61" s="309"/>
      <c r="B61" s="308"/>
      <c r="C61" s="315"/>
      <c r="D61" s="308"/>
    </row>
    <row r="62" spans="1:4" ht="16.5" customHeight="1">
      <c r="A62" s="309"/>
      <c r="B62" s="308"/>
      <c r="C62" s="315"/>
      <c r="D62" s="308"/>
    </row>
    <row r="63" spans="1:4" ht="16.5" customHeight="1">
      <c r="A63" s="309"/>
      <c r="B63" s="308"/>
      <c r="C63" s="315"/>
      <c r="D63" s="308"/>
    </row>
    <row r="64" spans="1:4" ht="16.5" customHeight="1">
      <c r="A64" s="309"/>
      <c r="B64" s="308"/>
      <c r="C64" s="315"/>
      <c r="D64" s="308"/>
    </row>
    <row r="65" spans="1:4" ht="16.5" customHeight="1">
      <c r="A65" s="309"/>
      <c r="B65" s="308"/>
      <c r="C65" s="315"/>
      <c r="D65" s="308"/>
    </row>
    <row r="66" spans="1:4" ht="16.5" customHeight="1">
      <c r="A66" s="309"/>
      <c r="B66" s="308"/>
      <c r="C66" s="315"/>
      <c r="D66" s="308"/>
    </row>
    <row r="67" spans="1:4" ht="16.5" customHeight="1">
      <c r="A67" s="309"/>
      <c r="B67" s="308"/>
      <c r="C67" s="315"/>
      <c r="D67" s="308"/>
    </row>
    <row r="68" spans="1:4" ht="16.5" customHeight="1">
      <c r="A68" s="309"/>
      <c r="B68" s="308"/>
      <c r="C68" s="315"/>
      <c r="D68" s="308"/>
    </row>
    <row r="69" spans="1:4" ht="16.5" customHeight="1">
      <c r="A69" s="309"/>
      <c r="B69" s="308"/>
      <c r="C69" s="315"/>
      <c r="D69" s="308"/>
    </row>
    <row r="70" spans="1:4" ht="16.5" customHeight="1">
      <c r="A70" s="309"/>
      <c r="B70" s="308"/>
      <c r="C70" s="315"/>
      <c r="D70" s="308"/>
    </row>
    <row r="71" spans="1:4" ht="16.5" customHeight="1">
      <c r="A71" s="309"/>
      <c r="B71" s="308"/>
      <c r="C71" s="315"/>
      <c r="D71" s="308"/>
    </row>
    <row r="72" spans="1:4" ht="16.5" customHeight="1">
      <c r="A72" s="309"/>
      <c r="B72" s="308"/>
      <c r="C72" s="315"/>
      <c r="D72" s="308"/>
    </row>
    <row r="73" spans="1:4" ht="16.5" customHeight="1">
      <c r="A73" s="309"/>
      <c r="B73" s="308"/>
      <c r="C73" s="315"/>
      <c r="D73" s="308"/>
    </row>
    <row r="74" spans="1:4" ht="16.5" customHeight="1">
      <c r="A74" s="309"/>
      <c r="B74" s="308"/>
      <c r="C74" s="315"/>
      <c r="D74" s="308"/>
    </row>
    <row r="75" spans="1:4" ht="16.5" customHeight="1">
      <c r="A75" s="309"/>
      <c r="B75" s="308"/>
      <c r="C75" s="315"/>
      <c r="D75" s="308"/>
    </row>
    <row r="76" spans="1:4" ht="16.5" customHeight="1">
      <c r="A76" s="309"/>
      <c r="B76" s="308"/>
      <c r="C76" s="315"/>
      <c r="D76" s="308"/>
    </row>
    <row r="77" spans="1:4" ht="16.5" customHeight="1">
      <c r="A77" s="309"/>
      <c r="B77" s="308"/>
      <c r="C77" s="315"/>
      <c r="D77" s="308"/>
    </row>
    <row r="78" spans="1:4" ht="16.5" customHeight="1">
      <c r="A78" s="309"/>
      <c r="B78" s="308"/>
      <c r="C78" s="315"/>
      <c r="D78" s="308"/>
    </row>
    <row r="79" spans="1:4" ht="16.5" customHeight="1">
      <c r="A79" s="309"/>
      <c r="B79" s="308"/>
      <c r="C79" s="315"/>
      <c r="D79" s="308"/>
    </row>
    <row r="80" spans="1:4" ht="16.5" customHeight="1">
      <c r="A80" s="309"/>
      <c r="B80" s="308"/>
      <c r="C80" s="315"/>
      <c r="D80" s="308"/>
    </row>
    <row r="81" spans="1:4" ht="16.5" customHeight="1">
      <c r="A81" s="309"/>
      <c r="B81" s="308"/>
      <c r="C81" s="315"/>
      <c r="D81" s="308"/>
    </row>
    <row r="82" spans="1:4" ht="16.5" customHeight="1">
      <c r="A82" s="309"/>
      <c r="B82" s="308"/>
      <c r="C82" s="315"/>
      <c r="D82" s="308"/>
    </row>
    <row r="83" spans="1:4" ht="16.5" customHeight="1">
      <c r="A83" s="309"/>
      <c r="B83" s="308"/>
      <c r="C83" s="315"/>
      <c r="D83" s="308"/>
    </row>
    <row r="84" spans="1:4" ht="16.5" customHeight="1">
      <c r="A84" s="309"/>
      <c r="B84" s="308"/>
      <c r="C84" s="315"/>
      <c r="D84" s="308"/>
    </row>
    <row r="85" spans="1:4" ht="16.5" customHeight="1">
      <c r="A85" s="309"/>
      <c r="B85" s="308"/>
      <c r="C85" s="315"/>
      <c r="D85" s="308"/>
    </row>
    <row r="86" spans="1:4" ht="16.5" customHeight="1">
      <c r="A86" s="309"/>
      <c r="B86" s="308"/>
      <c r="C86" s="315"/>
      <c r="D86" s="308"/>
    </row>
    <row r="87" spans="1:4" ht="16.5" customHeight="1">
      <c r="A87" s="309"/>
      <c r="B87" s="308"/>
      <c r="C87" s="315"/>
      <c r="D87" s="308"/>
    </row>
    <row r="88" spans="1:4" ht="16.5" customHeight="1">
      <c r="A88" s="309"/>
      <c r="B88" s="308"/>
      <c r="C88" s="315"/>
      <c r="D88" s="308"/>
    </row>
    <row r="89" spans="1:4" ht="16.5" customHeight="1">
      <c r="A89" s="309"/>
      <c r="B89" s="308"/>
      <c r="C89" s="315"/>
      <c r="D89" s="308"/>
    </row>
    <row r="90" spans="1:4" ht="16.5" customHeight="1">
      <c r="A90" s="309"/>
      <c r="B90" s="308"/>
      <c r="C90" s="315"/>
      <c r="D90" s="308"/>
    </row>
    <row r="91" spans="1:4" ht="16.5" customHeight="1">
      <c r="A91" s="309"/>
      <c r="B91" s="308"/>
      <c r="C91" s="315"/>
      <c r="D91" s="308"/>
    </row>
    <row r="92" spans="1:4" ht="16.5" customHeight="1">
      <c r="A92" s="309"/>
      <c r="B92" s="308"/>
      <c r="C92" s="315"/>
      <c r="D92" s="308"/>
    </row>
    <row r="93" spans="1:4" ht="16.5" customHeight="1">
      <c r="A93" s="309"/>
      <c r="B93" s="308"/>
      <c r="C93" s="315"/>
      <c r="D93" s="308"/>
    </row>
    <row r="94" spans="1:4" ht="16.5" customHeight="1">
      <c r="A94" s="309"/>
      <c r="B94" s="308"/>
      <c r="C94" s="315"/>
      <c r="D94" s="308"/>
    </row>
    <row r="95" spans="1:4" ht="16.5" customHeight="1">
      <c r="A95" s="309"/>
      <c r="B95" s="308"/>
      <c r="C95" s="315"/>
      <c r="D95" s="308"/>
    </row>
    <row r="96" spans="1:4" ht="16.5" customHeight="1">
      <c r="A96" s="309"/>
      <c r="B96" s="308"/>
      <c r="C96" s="315"/>
      <c r="D96" s="308"/>
    </row>
    <row r="97" spans="1:4" ht="16.5" customHeight="1">
      <c r="A97" s="309"/>
      <c r="B97" s="308"/>
      <c r="C97" s="315"/>
      <c r="D97" s="308"/>
    </row>
    <row r="98" spans="1:4" ht="16.5" customHeight="1">
      <c r="A98" s="309"/>
      <c r="B98" s="308"/>
      <c r="C98" s="315"/>
      <c r="D98" s="308"/>
    </row>
    <row r="99" spans="1:4" ht="16.5" customHeight="1">
      <c r="A99" s="309"/>
      <c r="B99" s="308"/>
      <c r="C99" s="315"/>
      <c r="D99" s="308"/>
    </row>
    <row r="100" spans="1:4" ht="16.5" customHeight="1">
      <c r="A100" s="309"/>
      <c r="B100" s="308"/>
      <c r="C100" s="315"/>
      <c r="D100" s="308"/>
    </row>
    <row r="101" spans="1:4" ht="16.5" customHeight="1">
      <c r="A101" s="309"/>
      <c r="B101" s="308"/>
      <c r="C101" s="315"/>
      <c r="D101" s="308"/>
    </row>
  </sheetData>
  <sheetProtection selectLockedCells="1"/>
  <mergeCells count="1">
    <mergeCell ref="A8:B8"/>
  </mergeCells>
  <phoneticPr fontId="21" type="noConversion"/>
  <pageMargins left="0.7" right="0.7" top="0.75" bottom="0.75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zoomScale="130" zoomScaleNormal="130" workbookViewId="0">
      <selection activeCell="I20" sqref="I20"/>
    </sheetView>
  </sheetViews>
  <sheetFormatPr defaultColWidth="12.625" defaultRowHeight="15" customHeight="1"/>
  <cols>
    <col min="1" max="1" width="8.25" bestFit="1" customWidth="1"/>
    <col min="2" max="2" width="16.5" bestFit="1" customWidth="1"/>
    <col min="3" max="6" width="8.25" bestFit="1" customWidth="1"/>
    <col min="7" max="11" width="7.625" customWidth="1"/>
  </cols>
  <sheetData>
    <row r="1" spans="1:6" ht="16.5" customHeight="1">
      <c r="A1" s="416" t="s">
        <v>191</v>
      </c>
      <c r="B1" s="344"/>
      <c r="C1" s="344"/>
      <c r="D1" s="344"/>
      <c r="E1" s="344"/>
      <c r="F1" s="345"/>
    </row>
    <row r="2" spans="1:6" ht="19.5" customHeight="1">
      <c r="A2" s="414" t="s">
        <v>159</v>
      </c>
      <c r="B2" s="86" t="s">
        <v>192</v>
      </c>
      <c r="C2" s="415" t="s">
        <v>193</v>
      </c>
      <c r="D2" s="344"/>
      <c r="E2" s="344"/>
      <c r="F2" s="345"/>
    </row>
    <row r="3" spans="1:6" ht="16.5" customHeight="1">
      <c r="A3" s="337"/>
      <c r="B3" s="98" t="s">
        <v>194</v>
      </c>
      <c r="C3" s="418">
        <v>120</v>
      </c>
      <c r="D3" s="396"/>
      <c r="E3" s="396"/>
      <c r="F3" s="397"/>
    </row>
    <row r="4" spans="1:6" ht="16.5" customHeight="1" thickBot="1">
      <c r="A4" s="338"/>
      <c r="B4" s="99" t="s">
        <v>86</v>
      </c>
      <c r="C4" s="419">
        <v>86</v>
      </c>
      <c r="D4" s="420"/>
      <c r="E4" s="420"/>
      <c r="F4" s="421"/>
    </row>
    <row r="5" spans="1:6" ht="16.5" customHeight="1">
      <c r="A5" s="417" t="s">
        <v>195</v>
      </c>
      <c r="B5" s="231" t="s">
        <v>196</v>
      </c>
      <c r="C5" s="239">
        <v>1</v>
      </c>
      <c r="D5" s="240">
        <v>0.75</v>
      </c>
      <c r="E5" s="240">
        <v>0.5</v>
      </c>
      <c r="F5" s="241">
        <v>0.25</v>
      </c>
    </row>
    <row r="6" spans="1:6" ht="16.5" customHeight="1">
      <c r="A6" s="337"/>
      <c r="B6" s="232" t="s">
        <v>194</v>
      </c>
      <c r="C6" s="242">
        <v>120</v>
      </c>
      <c r="D6" s="209">
        <v>90</v>
      </c>
      <c r="E6" s="209">
        <v>60</v>
      </c>
      <c r="F6" s="243">
        <v>30</v>
      </c>
    </row>
    <row r="7" spans="1:6" ht="16.5" customHeight="1">
      <c r="A7" s="337"/>
      <c r="B7" s="232" t="s">
        <v>197</v>
      </c>
      <c r="C7" s="242">
        <f t="shared" ref="C7:F7" si="0">C6*3.516</f>
        <v>421.92</v>
      </c>
      <c r="D7" s="208">
        <f t="shared" si="0"/>
        <v>316.44</v>
      </c>
      <c r="E7" s="208">
        <f t="shared" si="0"/>
        <v>210.96</v>
      </c>
      <c r="F7" s="244">
        <f t="shared" si="0"/>
        <v>105.48</v>
      </c>
    </row>
    <row r="8" spans="1:6" ht="16.5" customHeight="1">
      <c r="A8" s="337"/>
      <c r="B8" s="232" t="s">
        <v>86</v>
      </c>
      <c r="C8" s="242">
        <v>72</v>
      </c>
      <c r="D8" s="209">
        <v>45</v>
      </c>
      <c r="E8" s="209">
        <v>26</v>
      </c>
      <c r="F8" s="243">
        <v>15</v>
      </c>
    </row>
    <row r="9" spans="1:6" ht="16.5" customHeight="1" thickBot="1">
      <c r="A9" s="338"/>
      <c r="B9" s="233" t="s">
        <v>198</v>
      </c>
      <c r="C9" s="245">
        <f t="shared" ref="C9:F9" si="1">C8/C6</f>
        <v>0.6</v>
      </c>
      <c r="D9" s="246">
        <f t="shared" si="1"/>
        <v>0.5</v>
      </c>
      <c r="E9" s="246">
        <f t="shared" si="1"/>
        <v>0.43333333333333335</v>
      </c>
      <c r="F9" s="247">
        <f t="shared" si="1"/>
        <v>0.5</v>
      </c>
    </row>
    <row r="10" spans="1:6" ht="16.5" customHeight="1">
      <c r="A10" s="417" t="s">
        <v>199</v>
      </c>
      <c r="B10" s="231" t="s">
        <v>200</v>
      </c>
      <c r="C10" s="234">
        <v>1200</v>
      </c>
      <c r="D10" s="235">
        <v>1200</v>
      </c>
      <c r="E10" s="235">
        <v>1200</v>
      </c>
      <c r="F10" s="236">
        <v>1200</v>
      </c>
    </row>
    <row r="11" spans="1:6" ht="16.5" customHeight="1">
      <c r="A11" s="337"/>
      <c r="B11" s="232" t="s">
        <v>79</v>
      </c>
      <c r="C11" s="201">
        <v>7</v>
      </c>
      <c r="D11" s="210">
        <v>7</v>
      </c>
      <c r="E11" s="210">
        <v>7</v>
      </c>
      <c r="F11" s="202">
        <v>7</v>
      </c>
    </row>
    <row r="12" spans="1:6" ht="16.5" customHeight="1">
      <c r="A12" s="337"/>
      <c r="B12" s="232" t="s">
        <v>201</v>
      </c>
      <c r="C12" s="201">
        <v>12</v>
      </c>
      <c r="D12" s="210">
        <v>10.75</v>
      </c>
      <c r="E12" s="210">
        <v>9.5</v>
      </c>
      <c r="F12" s="202">
        <v>8.25</v>
      </c>
    </row>
    <row r="13" spans="1:6" ht="16.5" customHeight="1" thickBot="1">
      <c r="A13" s="338"/>
      <c r="B13" s="233" t="s">
        <v>175</v>
      </c>
      <c r="C13" s="204">
        <f t="shared" ref="C13:F13" si="2">C12-C11</f>
        <v>5</v>
      </c>
      <c r="D13" s="237">
        <f t="shared" si="2"/>
        <v>3.75</v>
      </c>
      <c r="E13" s="237">
        <f t="shared" si="2"/>
        <v>2.5</v>
      </c>
      <c r="F13" s="238">
        <f t="shared" si="2"/>
        <v>1.25</v>
      </c>
    </row>
    <row r="14" spans="1:6" ht="16.5" customHeight="1">
      <c r="A14" s="417" t="s">
        <v>202</v>
      </c>
      <c r="B14" s="231" t="s">
        <v>203</v>
      </c>
      <c r="C14" s="234">
        <v>1500</v>
      </c>
      <c r="D14" s="235">
        <v>1500</v>
      </c>
      <c r="E14" s="235">
        <v>1500</v>
      </c>
      <c r="F14" s="236">
        <v>1500</v>
      </c>
    </row>
    <row r="15" spans="1:6" ht="16.5" customHeight="1">
      <c r="A15" s="337"/>
      <c r="B15" s="232" t="s">
        <v>79</v>
      </c>
      <c r="C15" s="201">
        <v>35</v>
      </c>
      <c r="D15" s="210">
        <v>28.75</v>
      </c>
      <c r="E15" s="210">
        <v>21.5</v>
      </c>
      <c r="F15" s="202">
        <v>20.25</v>
      </c>
    </row>
    <row r="16" spans="1:6" ht="16.5" customHeight="1">
      <c r="A16" s="337"/>
      <c r="B16" s="232" t="s">
        <v>201</v>
      </c>
      <c r="C16" s="201">
        <v>30</v>
      </c>
      <c r="D16" s="210">
        <v>25</v>
      </c>
      <c r="E16" s="210">
        <v>19</v>
      </c>
      <c r="F16" s="202">
        <v>19</v>
      </c>
    </row>
    <row r="17" spans="1:6" ht="16.5" customHeight="1">
      <c r="A17" s="338"/>
      <c r="B17" s="233" t="s">
        <v>175</v>
      </c>
      <c r="C17" s="204">
        <f t="shared" ref="C17:F17" si="3">C15-C16</f>
        <v>5</v>
      </c>
      <c r="D17" s="237">
        <f t="shared" si="3"/>
        <v>3.75</v>
      </c>
      <c r="E17" s="237">
        <f t="shared" si="3"/>
        <v>2.5</v>
      </c>
      <c r="F17" s="238">
        <f t="shared" si="3"/>
        <v>1.25</v>
      </c>
    </row>
    <row r="18" spans="1:6" ht="16.5" customHeight="1"/>
    <row r="19" spans="1:6" ht="16.5" customHeight="1"/>
    <row r="20" spans="1:6" ht="16.5" customHeight="1"/>
    <row r="21" spans="1:6" ht="16.5" customHeight="1"/>
    <row r="22" spans="1:6" ht="16.5" customHeight="1"/>
    <row r="23" spans="1:6" ht="16.5" customHeight="1"/>
    <row r="24" spans="1:6" ht="16.5" customHeight="1"/>
    <row r="25" spans="1:6" ht="16.5" customHeight="1"/>
    <row r="26" spans="1:6" ht="16.5" customHeight="1"/>
    <row r="27" spans="1:6" ht="16.5" customHeight="1"/>
    <row r="28" spans="1:6" ht="16.5" customHeight="1"/>
    <row r="29" spans="1:6" ht="16.5" customHeight="1"/>
    <row r="30" spans="1:6" ht="16.5" customHeight="1"/>
    <row r="31" spans="1:6" ht="16.5" customHeight="1"/>
    <row r="32" spans="1:6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8">
    <mergeCell ref="A2:A4"/>
    <mergeCell ref="C2:F2"/>
    <mergeCell ref="A1:F1"/>
    <mergeCell ref="A10:A13"/>
    <mergeCell ref="A14:A17"/>
    <mergeCell ref="A5:A9"/>
    <mergeCell ref="C3:F3"/>
    <mergeCell ref="C4:F4"/>
  </mergeCells>
  <phoneticPr fontId="21" type="noConversion"/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zoomScale="130" zoomScaleNormal="130" workbookViewId="0">
      <selection activeCell="J4" sqref="J4"/>
    </sheetView>
  </sheetViews>
  <sheetFormatPr defaultColWidth="12.625" defaultRowHeight="15" customHeight="1"/>
  <cols>
    <col min="1" max="1" width="11" customWidth="1"/>
    <col min="2" max="2" width="9.75" customWidth="1"/>
    <col min="3" max="3" width="11" customWidth="1"/>
    <col min="4" max="6" width="9.75" customWidth="1"/>
    <col min="7" max="7" width="10.5" bestFit="1" customWidth="1"/>
    <col min="8" max="11" width="7.625" customWidth="1"/>
  </cols>
  <sheetData>
    <row r="1" spans="1:7" ht="16.5" customHeight="1">
      <c r="A1" s="416" t="s">
        <v>204</v>
      </c>
      <c r="B1" s="344"/>
      <c r="C1" s="344"/>
      <c r="D1" s="344"/>
      <c r="E1" s="344"/>
      <c r="F1" s="344"/>
      <c r="G1" s="345"/>
    </row>
    <row r="2" spans="1:7" ht="16.5" customHeight="1">
      <c r="A2" s="97" t="s">
        <v>205</v>
      </c>
      <c r="B2" s="422">
        <f>0</f>
        <v>0</v>
      </c>
      <c r="C2" s="423"/>
      <c r="D2" s="87" t="s">
        <v>206</v>
      </c>
      <c r="E2" s="424">
        <f>'5-全新系統'!D11</f>
        <v>1.1111111111111112E-5</v>
      </c>
      <c r="F2" s="425"/>
      <c r="G2" s="426"/>
    </row>
    <row r="3" spans="1:7" ht="16.5">
      <c r="A3" s="97" t="s">
        <v>207</v>
      </c>
      <c r="B3" s="87" t="s">
        <v>151</v>
      </c>
      <c r="C3" s="87" t="s">
        <v>68</v>
      </c>
      <c r="D3" s="87" t="s">
        <v>208</v>
      </c>
      <c r="E3" s="87" t="s">
        <v>209</v>
      </c>
      <c r="F3" s="87" t="s">
        <v>117</v>
      </c>
      <c r="G3" s="88" t="s">
        <v>86</v>
      </c>
    </row>
    <row r="4" spans="1:7" ht="16.5" customHeight="1">
      <c r="A4" s="211">
        <v>1</v>
      </c>
      <c r="B4" s="212">
        <f>'5-全新系統'!D14</f>
        <v>1750</v>
      </c>
      <c r="C4" s="213">
        <f>'5-全新系統'!D6</f>
        <v>1200</v>
      </c>
      <c r="D4" s="213">
        <f t="shared" ref="D4:D10" si="0">$B$2+$E$2*C4^2</f>
        <v>16</v>
      </c>
      <c r="E4" s="213">
        <f t="shared" ref="E4:E10" si="1">1000*9.81*D4*C4/60/1000/1000</f>
        <v>3.1391999999999998</v>
      </c>
      <c r="F4" s="213">
        <v>1.42</v>
      </c>
      <c r="G4" s="214">
        <f t="shared" ref="G4:G10" si="2">E4*F4</f>
        <v>4.4576639999999994</v>
      </c>
    </row>
    <row r="5" spans="1:7" ht="16.5" customHeight="1">
      <c r="A5" s="211">
        <v>0.83330000000000004</v>
      </c>
      <c r="B5" s="215">
        <f t="shared" ref="B5:B10" si="3">$B$4*A5</f>
        <v>1458.2750000000001</v>
      </c>
      <c r="C5" s="216">
        <f t="shared" ref="C5:C10" si="4">$C$4*A5</f>
        <v>999.96</v>
      </c>
      <c r="D5" s="216">
        <f t="shared" si="0"/>
        <v>11.110222240000001</v>
      </c>
      <c r="E5" s="216">
        <f t="shared" si="1"/>
        <v>1.8164486753865505</v>
      </c>
      <c r="F5" s="216">
        <v>1.66</v>
      </c>
      <c r="G5" s="217">
        <f t="shared" si="2"/>
        <v>3.0153048011416739</v>
      </c>
    </row>
    <row r="6" spans="1:7" ht="16.5" customHeight="1">
      <c r="A6" s="218">
        <v>0.75</v>
      </c>
      <c r="B6" s="215">
        <f t="shared" si="3"/>
        <v>1312.5</v>
      </c>
      <c r="C6" s="216">
        <f t="shared" si="4"/>
        <v>900</v>
      </c>
      <c r="D6" s="216">
        <f t="shared" si="0"/>
        <v>9</v>
      </c>
      <c r="E6" s="219">
        <f t="shared" si="1"/>
        <v>1.3243499999999999</v>
      </c>
      <c r="F6" s="210">
        <v>1.7</v>
      </c>
      <c r="G6" s="220">
        <f t="shared" si="2"/>
        <v>2.2513949999999996</v>
      </c>
    </row>
    <row r="7" spans="1:7" ht="16.5" customHeight="1">
      <c r="A7" s="218">
        <v>0.625</v>
      </c>
      <c r="B7" s="215">
        <f t="shared" si="3"/>
        <v>1093.75</v>
      </c>
      <c r="C7" s="216">
        <f t="shared" si="4"/>
        <v>750</v>
      </c>
      <c r="D7" s="216">
        <f t="shared" si="0"/>
        <v>6.25</v>
      </c>
      <c r="E7" s="219">
        <f t="shared" si="1"/>
        <v>0.76640624999999996</v>
      </c>
      <c r="F7" s="210">
        <v>1.9</v>
      </c>
      <c r="G7" s="220">
        <f t="shared" si="2"/>
        <v>1.4561718749999999</v>
      </c>
    </row>
    <row r="8" spans="1:7" ht="16.5" customHeight="1">
      <c r="A8" s="218">
        <v>0.5</v>
      </c>
      <c r="B8" s="215">
        <f t="shared" si="3"/>
        <v>875</v>
      </c>
      <c r="C8" s="216">
        <f t="shared" si="4"/>
        <v>600</v>
      </c>
      <c r="D8" s="216">
        <f t="shared" si="0"/>
        <v>4</v>
      </c>
      <c r="E8" s="219">
        <f t="shared" si="1"/>
        <v>0.39239999999999997</v>
      </c>
      <c r="F8" s="210">
        <v>2</v>
      </c>
      <c r="G8" s="220">
        <f t="shared" si="2"/>
        <v>0.78479999999999994</v>
      </c>
    </row>
    <row r="9" spans="1:7" ht="16.5" customHeight="1">
      <c r="A9" s="221">
        <v>0.35680000000000001</v>
      </c>
      <c r="B9" s="215">
        <f t="shared" si="3"/>
        <v>624.4</v>
      </c>
      <c r="C9" s="216">
        <f t="shared" si="4"/>
        <v>428.16</v>
      </c>
      <c r="D9" s="216">
        <f t="shared" si="0"/>
        <v>2.0368998400000002</v>
      </c>
      <c r="E9" s="222">
        <f t="shared" si="1"/>
        <v>0.14259146230333444</v>
      </c>
      <c r="F9" s="223">
        <v>2.35</v>
      </c>
      <c r="G9" s="224">
        <f t="shared" si="2"/>
        <v>0.33508993641283596</v>
      </c>
    </row>
    <row r="10" spans="1:7" ht="16.5" customHeight="1">
      <c r="A10" s="225">
        <v>0.25</v>
      </c>
      <c r="B10" s="226">
        <f t="shared" si="3"/>
        <v>437.5</v>
      </c>
      <c r="C10" s="227">
        <f t="shared" si="4"/>
        <v>300</v>
      </c>
      <c r="D10" s="227">
        <f t="shared" si="0"/>
        <v>1</v>
      </c>
      <c r="E10" s="228">
        <f t="shared" si="1"/>
        <v>4.9049999999999996E-2</v>
      </c>
      <c r="F10" s="229">
        <v>2.5</v>
      </c>
      <c r="G10" s="230">
        <f t="shared" si="2"/>
        <v>0.12262499999999998</v>
      </c>
    </row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3">
    <mergeCell ref="A1:G1"/>
    <mergeCell ref="B2:C2"/>
    <mergeCell ref="E2:G2"/>
  </mergeCells>
  <phoneticPr fontId="21" type="noConversion"/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0"/>
  <sheetViews>
    <sheetView zoomScale="130" zoomScaleNormal="130" workbookViewId="0">
      <selection activeCell="K17" sqref="K17"/>
    </sheetView>
  </sheetViews>
  <sheetFormatPr defaultColWidth="12.625" defaultRowHeight="15" customHeight="1"/>
  <cols>
    <col min="1" max="1" width="12.5" customWidth="1"/>
    <col min="2" max="2" width="9.375" bestFit="1" customWidth="1"/>
    <col min="3" max="3" width="10.875" customWidth="1"/>
    <col min="4" max="4" width="9.25" customWidth="1"/>
    <col min="5" max="5" width="10" customWidth="1"/>
    <col min="6" max="6" width="9.625" customWidth="1"/>
    <col min="7" max="7" width="11.625" customWidth="1"/>
    <col min="8" max="11" width="7.625" customWidth="1"/>
  </cols>
  <sheetData>
    <row r="1" spans="1:7" ht="16.5">
      <c r="A1" s="416" t="s">
        <v>210</v>
      </c>
      <c r="B1" s="344"/>
      <c r="C1" s="344"/>
      <c r="D1" s="344"/>
      <c r="E1" s="344"/>
      <c r="F1" s="344"/>
      <c r="G1" s="345"/>
    </row>
    <row r="2" spans="1:7" ht="16.5" customHeight="1">
      <c r="A2" s="86" t="s">
        <v>211</v>
      </c>
      <c r="B2" s="427">
        <f>'5-全新系統'!F10</f>
        <v>2.6</v>
      </c>
      <c r="C2" s="428"/>
      <c r="D2" s="78" t="s">
        <v>206</v>
      </c>
      <c r="E2" s="429">
        <f>'5-全新系統'!F11</f>
        <v>2.8444444444444446E-6</v>
      </c>
      <c r="F2" s="428"/>
      <c r="G2" s="430"/>
    </row>
    <row r="3" spans="1:7" ht="16.5" customHeight="1">
      <c r="A3" s="77" t="s">
        <v>207</v>
      </c>
      <c r="B3" s="100" t="s">
        <v>151</v>
      </c>
      <c r="C3" s="79" t="s">
        <v>68</v>
      </c>
      <c r="D3" s="79" t="s">
        <v>208</v>
      </c>
      <c r="E3" s="79" t="s">
        <v>209</v>
      </c>
      <c r="F3" s="79" t="s">
        <v>117</v>
      </c>
      <c r="G3" s="80" t="s">
        <v>86</v>
      </c>
    </row>
    <row r="4" spans="1:7" ht="16.5" customHeight="1">
      <c r="A4" s="211">
        <v>1</v>
      </c>
      <c r="B4" s="212">
        <f>'5-全新系統'!F14</f>
        <v>1750</v>
      </c>
      <c r="C4" s="213">
        <f>'5-全新系統'!F6</f>
        <v>1500</v>
      </c>
      <c r="D4" s="213">
        <f t="shared" ref="D4:D10" si="0">$B$2+$E$2*C4^2</f>
        <v>9</v>
      </c>
      <c r="E4" s="213">
        <f t="shared" ref="E4:E10" si="1">1000*9.81*D4*C4/60/1000/1000</f>
        <v>2.2072500000000002</v>
      </c>
      <c r="F4" s="248">
        <f>'5-全新系統'!F22</f>
        <v>1.4169556756734956</v>
      </c>
      <c r="G4" s="249">
        <f t="shared" ref="G4:G10" si="2">E4*F4</f>
        <v>3.1275754151303232</v>
      </c>
    </row>
    <row r="5" spans="1:7" ht="16.5" customHeight="1">
      <c r="A5" s="211">
        <v>0.83330000000000004</v>
      </c>
      <c r="B5" s="250">
        <f t="shared" ref="B5:B10" si="3">$B$4*A5</f>
        <v>1458.2750000000001</v>
      </c>
      <c r="C5" s="219">
        <f t="shared" ref="C5:C10" si="4">$C$4*A5</f>
        <v>1249.95</v>
      </c>
      <c r="D5" s="219">
        <f t="shared" si="0"/>
        <v>7.0440888960000017</v>
      </c>
      <c r="E5" s="219">
        <f t="shared" si="1"/>
        <v>1.4395780826932758</v>
      </c>
      <c r="F5" s="251">
        <v>1.66</v>
      </c>
      <c r="G5" s="252">
        <f t="shared" si="2"/>
        <v>2.3896996172708378</v>
      </c>
    </row>
    <row r="6" spans="1:7" ht="16.5" customHeight="1">
      <c r="A6" s="218">
        <v>0.75</v>
      </c>
      <c r="B6" s="250">
        <f t="shared" si="3"/>
        <v>1312.5</v>
      </c>
      <c r="C6" s="219">
        <f t="shared" si="4"/>
        <v>1125</v>
      </c>
      <c r="D6" s="219">
        <f t="shared" si="0"/>
        <v>6.2</v>
      </c>
      <c r="E6" s="219">
        <f t="shared" si="1"/>
        <v>1.1404124999999998</v>
      </c>
      <c r="F6" s="251">
        <v>1.7</v>
      </c>
      <c r="G6" s="252">
        <f t="shared" si="2"/>
        <v>1.9387012499999996</v>
      </c>
    </row>
    <row r="7" spans="1:7" ht="16.5" customHeight="1">
      <c r="A7" s="218">
        <v>0.625</v>
      </c>
      <c r="B7" s="250">
        <f t="shared" si="3"/>
        <v>1093.75</v>
      </c>
      <c r="C7" s="219">
        <f t="shared" si="4"/>
        <v>937.5</v>
      </c>
      <c r="D7" s="219">
        <f t="shared" si="0"/>
        <v>5.0999999999999996</v>
      </c>
      <c r="E7" s="219">
        <f t="shared" si="1"/>
        <v>0.78173437499999998</v>
      </c>
      <c r="F7" s="251">
        <v>1.9</v>
      </c>
      <c r="G7" s="252">
        <f t="shared" si="2"/>
        <v>1.4852953124999999</v>
      </c>
    </row>
    <row r="8" spans="1:7" ht="16.5" customHeight="1">
      <c r="A8" s="218">
        <v>0.5</v>
      </c>
      <c r="B8" s="250">
        <f t="shared" si="3"/>
        <v>875</v>
      </c>
      <c r="C8" s="219">
        <f t="shared" si="4"/>
        <v>750</v>
      </c>
      <c r="D8" s="219">
        <f t="shared" si="0"/>
        <v>4.2</v>
      </c>
      <c r="E8" s="219">
        <f t="shared" si="1"/>
        <v>0.51502499999999996</v>
      </c>
      <c r="F8" s="251">
        <v>2</v>
      </c>
      <c r="G8" s="252">
        <f t="shared" si="2"/>
        <v>1.0300499999999999</v>
      </c>
    </row>
    <row r="9" spans="1:7" ht="16.5" customHeight="1">
      <c r="A9" s="221">
        <v>0.35680000000000001</v>
      </c>
      <c r="B9" s="250">
        <f t="shared" si="3"/>
        <v>624.4</v>
      </c>
      <c r="C9" s="219">
        <f t="shared" si="4"/>
        <v>535.20000000000005</v>
      </c>
      <c r="D9" s="219">
        <f t="shared" si="0"/>
        <v>3.4147599360000003</v>
      </c>
      <c r="E9" s="219">
        <f t="shared" si="1"/>
        <v>0.29880925115166718</v>
      </c>
      <c r="F9" s="251">
        <v>2.35</v>
      </c>
      <c r="G9" s="252">
        <f t="shared" si="2"/>
        <v>0.7022017402064179</v>
      </c>
    </row>
    <row r="10" spans="1:7" ht="16.5" customHeight="1">
      <c r="A10" s="225">
        <v>0.25</v>
      </c>
      <c r="B10" s="253">
        <f t="shared" si="3"/>
        <v>437.5</v>
      </c>
      <c r="C10" s="228">
        <f t="shared" si="4"/>
        <v>375</v>
      </c>
      <c r="D10" s="228">
        <f t="shared" si="0"/>
        <v>3</v>
      </c>
      <c r="E10" s="228">
        <f t="shared" si="1"/>
        <v>0.1839375</v>
      </c>
      <c r="F10" s="75">
        <v>2.5</v>
      </c>
      <c r="G10" s="76">
        <f t="shared" si="2"/>
        <v>0.45984375</v>
      </c>
    </row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3">
    <mergeCell ref="B2:C2"/>
    <mergeCell ref="A1:G1"/>
    <mergeCell ref="E2:G2"/>
  </mergeCells>
  <phoneticPr fontId="21" type="noConversion"/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06"/>
  <sheetViews>
    <sheetView workbookViewId="0">
      <selection activeCell="K16" sqref="K16"/>
    </sheetView>
  </sheetViews>
  <sheetFormatPr defaultColWidth="9" defaultRowHeight="12.75"/>
  <cols>
    <col min="1" max="8" width="9" style="257"/>
    <col min="9" max="16384" width="9" style="118"/>
  </cols>
  <sheetData>
    <row r="1" spans="1:8" ht="16.5">
      <c r="A1" s="117" t="s">
        <v>226</v>
      </c>
      <c r="B1" s="117" t="s">
        <v>227</v>
      </c>
      <c r="C1" s="117" t="s">
        <v>228</v>
      </c>
      <c r="D1" s="117" t="s">
        <v>229</v>
      </c>
      <c r="E1" s="117" t="s">
        <v>230</v>
      </c>
      <c r="F1" s="117" t="s">
        <v>231</v>
      </c>
      <c r="G1" s="117" t="s">
        <v>232</v>
      </c>
      <c r="H1" s="117" t="s">
        <v>233</v>
      </c>
    </row>
    <row r="2" spans="1:8" ht="16.5">
      <c r="A2" s="119">
        <v>60</v>
      </c>
      <c r="B2" s="120">
        <v>0.75</v>
      </c>
      <c r="C2" s="120">
        <v>1</v>
      </c>
      <c r="D2" s="120">
        <v>3600</v>
      </c>
      <c r="E2" s="254">
        <v>74</v>
      </c>
      <c r="F2" s="254">
        <v>75.5</v>
      </c>
      <c r="G2" s="254">
        <v>77</v>
      </c>
      <c r="H2" s="254">
        <v>82.5</v>
      </c>
    </row>
    <row r="3" spans="1:8" ht="16.5">
      <c r="A3" s="119">
        <v>60</v>
      </c>
      <c r="B3" s="119">
        <v>1.1000000000000001</v>
      </c>
      <c r="C3" s="119">
        <v>1.5</v>
      </c>
      <c r="D3" s="119">
        <v>3600</v>
      </c>
      <c r="E3" s="119">
        <v>78.5</v>
      </c>
      <c r="F3" s="119">
        <v>82.5</v>
      </c>
      <c r="G3" s="119">
        <v>84</v>
      </c>
      <c r="H3" s="119">
        <v>85.5</v>
      </c>
    </row>
    <row r="4" spans="1:8" ht="16.5">
      <c r="A4" s="119">
        <v>60</v>
      </c>
      <c r="B4" s="119">
        <v>1.5</v>
      </c>
      <c r="C4" s="119">
        <v>2</v>
      </c>
      <c r="D4" s="119">
        <v>3600</v>
      </c>
      <c r="E4" s="119">
        <v>81</v>
      </c>
      <c r="F4" s="119">
        <v>84</v>
      </c>
      <c r="G4" s="119">
        <v>85.5</v>
      </c>
      <c r="H4" s="119">
        <v>86.5</v>
      </c>
    </row>
    <row r="5" spans="1:8" ht="16.5">
      <c r="A5" s="119">
        <v>60</v>
      </c>
      <c r="B5" s="119">
        <v>2.2000000000000002</v>
      </c>
      <c r="C5" s="119">
        <v>3</v>
      </c>
      <c r="D5" s="119">
        <v>3600</v>
      </c>
      <c r="E5" s="119">
        <v>81.5</v>
      </c>
      <c r="F5" s="119">
        <v>85.5</v>
      </c>
      <c r="G5" s="119">
        <v>86.5</v>
      </c>
      <c r="H5" s="119">
        <v>88.5</v>
      </c>
    </row>
    <row r="6" spans="1:8" ht="16.5">
      <c r="A6" s="119">
        <v>60</v>
      </c>
      <c r="B6" s="119">
        <v>3</v>
      </c>
      <c r="C6" s="121" t="s">
        <v>234</v>
      </c>
      <c r="D6" s="119">
        <v>3600</v>
      </c>
      <c r="E6" s="121" t="s">
        <v>234</v>
      </c>
      <c r="F6" s="121" t="s">
        <v>234</v>
      </c>
      <c r="G6" s="121" t="s">
        <v>234</v>
      </c>
      <c r="H6" s="121" t="s">
        <v>234</v>
      </c>
    </row>
    <row r="7" spans="1:8" ht="16.5">
      <c r="A7" s="119">
        <v>60</v>
      </c>
      <c r="B7" s="119">
        <v>3.7</v>
      </c>
      <c r="C7" s="119">
        <v>5</v>
      </c>
      <c r="D7" s="119">
        <v>3600</v>
      </c>
      <c r="E7" s="119">
        <v>84.5</v>
      </c>
      <c r="F7" s="119">
        <v>87.5</v>
      </c>
      <c r="G7" s="119">
        <v>88.5</v>
      </c>
      <c r="H7" s="119">
        <v>89.5</v>
      </c>
    </row>
    <row r="8" spans="1:8" ht="16.5">
      <c r="A8" s="119">
        <v>60</v>
      </c>
      <c r="B8" s="119">
        <v>4</v>
      </c>
      <c r="C8" s="121" t="s">
        <v>234</v>
      </c>
      <c r="D8" s="119">
        <v>3600</v>
      </c>
      <c r="E8" s="121" t="s">
        <v>234</v>
      </c>
      <c r="F8" s="121" t="s">
        <v>234</v>
      </c>
      <c r="G8" s="121" t="s">
        <v>234</v>
      </c>
      <c r="H8" s="121" t="s">
        <v>234</v>
      </c>
    </row>
    <row r="9" spans="1:8" ht="16.5">
      <c r="A9" s="119">
        <v>60</v>
      </c>
      <c r="B9" s="119">
        <v>5.5</v>
      </c>
      <c r="C9" s="119">
        <v>7.5</v>
      </c>
      <c r="D9" s="119">
        <v>3600</v>
      </c>
      <c r="E9" s="119">
        <v>86</v>
      </c>
      <c r="F9" s="119">
        <v>88.5</v>
      </c>
      <c r="G9" s="119">
        <v>89.5</v>
      </c>
      <c r="H9" s="119">
        <v>90.2</v>
      </c>
    </row>
    <row r="10" spans="1:8" ht="16.5">
      <c r="A10" s="119">
        <v>60</v>
      </c>
      <c r="B10" s="119">
        <v>7.5</v>
      </c>
      <c r="C10" s="119">
        <v>10</v>
      </c>
      <c r="D10" s="119">
        <v>3600</v>
      </c>
      <c r="E10" s="119">
        <v>87.5</v>
      </c>
      <c r="F10" s="119">
        <v>89.5</v>
      </c>
      <c r="G10" s="119">
        <v>90.2</v>
      </c>
      <c r="H10" s="119">
        <v>91.7</v>
      </c>
    </row>
    <row r="11" spans="1:8" ht="16.5">
      <c r="A11" s="119">
        <v>60</v>
      </c>
      <c r="B11" s="119">
        <v>11</v>
      </c>
      <c r="C11" s="119">
        <v>15</v>
      </c>
      <c r="D11" s="119">
        <v>3600</v>
      </c>
      <c r="E11" s="119">
        <v>87.5</v>
      </c>
      <c r="F11" s="119">
        <v>90.2</v>
      </c>
      <c r="G11" s="119">
        <v>91</v>
      </c>
      <c r="H11" s="119">
        <v>92.4</v>
      </c>
    </row>
    <row r="12" spans="1:8" ht="16.5">
      <c r="A12" s="119">
        <v>60</v>
      </c>
      <c r="B12" s="119">
        <v>15</v>
      </c>
      <c r="C12" s="119">
        <v>20</v>
      </c>
      <c r="D12" s="119">
        <v>3600</v>
      </c>
      <c r="E12" s="119">
        <v>88.5</v>
      </c>
      <c r="F12" s="119">
        <v>90.2</v>
      </c>
      <c r="G12" s="119">
        <v>91</v>
      </c>
      <c r="H12" s="119">
        <v>92.4</v>
      </c>
    </row>
    <row r="13" spans="1:8" ht="16.5">
      <c r="A13" s="119">
        <v>60</v>
      </c>
      <c r="B13" s="119">
        <v>18.5</v>
      </c>
      <c r="C13" s="119">
        <v>25</v>
      </c>
      <c r="D13" s="119">
        <v>3600</v>
      </c>
      <c r="E13" s="119">
        <v>89.5</v>
      </c>
      <c r="F13" s="119">
        <v>91</v>
      </c>
      <c r="G13" s="119">
        <v>91.7</v>
      </c>
      <c r="H13" s="119">
        <v>93</v>
      </c>
    </row>
    <row r="14" spans="1:8" ht="16.5">
      <c r="A14" s="119">
        <v>60</v>
      </c>
      <c r="B14" s="119">
        <v>22</v>
      </c>
      <c r="C14" s="119">
        <v>30</v>
      </c>
      <c r="D14" s="119">
        <v>3600</v>
      </c>
      <c r="E14" s="119">
        <v>89.5</v>
      </c>
      <c r="F14" s="119">
        <v>91</v>
      </c>
      <c r="G14" s="119">
        <v>91.7</v>
      </c>
      <c r="H14" s="119">
        <v>93</v>
      </c>
    </row>
    <row r="15" spans="1:8" ht="16.5">
      <c r="A15" s="119">
        <v>60</v>
      </c>
      <c r="B15" s="119">
        <v>30</v>
      </c>
      <c r="C15" s="119">
        <v>40</v>
      </c>
      <c r="D15" s="119">
        <v>3600</v>
      </c>
      <c r="E15" s="119">
        <v>90.2</v>
      </c>
      <c r="F15" s="119">
        <v>91.7</v>
      </c>
      <c r="G15" s="119">
        <v>92.4</v>
      </c>
      <c r="H15" s="119">
        <v>93.6</v>
      </c>
    </row>
    <row r="16" spans="1:8" ht="16.5">
      <c r="A16" s="119">
        <v>60</v>
      </c>
      <c r="B16" s="119">
        <v>37</v>
      </c>
      <c r="C16" s="119">
        <v>50</v>
      </c>
      <c r="D16" s="119">
        <v>3600</v>
      </c>
      <c r="E16" s="119">
        <v>91.5</v>
      </c>
      <c r="F16" s="119">
        <v>92.4</v>
      </c>
      <c r="G16" s="119">
        <v>93</v>
      </c>
      <c r="H16" s="119">
        <v>94.1</v>
      </c>
    </row>
    <row r="17" spans="1:8" ht="16.5">
      <c r="A17" s="119">
        <v>60</v>
      </c>
      <c r="B17" s="119">
        <v>45</v>
      </c>
      <c r="C17" s="119">
        <v>60</v>
      </c>
      <c r="D17" s="119">
        <v>3600</v>
      </c>
      <c r="E17" s="119">
        <v>91.7</v>
      </c>
      <c r="F17" s="119">
        <v>93</v>
      </c>
      <c r="G17" s="119">
        <v>93.6</v>
      </c>
      <c r="H17" s="119">
        <v>94.5</v>
      </c>
    </row>
    <row r="18" spans="1:8" ht="16.5">
      <c r="A18" s="119">
        <v>60</v>
      </c>
      <c r="B18" s="119">
        <v>55</v>
      </c>
      <c r="C18" s="119">
        <v>75</v>
      </c>
      <c r="D18" s="119">
        <v>3600</v>
      </c>
      <c r="E18" s="119">
        <v>92.4</v>
      </c>
      <c r="F18" s="119">
        <v>93</v>
      </c>
      <c r="G18" s="119">
        <v>93.6</v>
      </c>
      <c r="H18" s="119">
        <v>94.5</v>
      </c>
    </row>
    <row r="19" spans="1:8" ht="16.5">
      <c r="A19" s="119">
        <v>60</v>
      </c>
      <c r="B19" s="119">
        <v>75</v>
      </c>
      <c r="C19" s="119">
        <v>100</v>
      </c>
      <c r="D19" s="119">
        <v>3600</v>
      </c>
      <c r="E19" s="119">
        <v>93</v>
      </c>
      <c r="F19" s="119">
        <v>93.6</v>
      </c>
      <c r="G19" s="119">
        <v>94.1</v>
      </c>
      <c r="H19" s="119">
        <v>95</v>
      </c>
    </row>
    <row r="20" spans="1:8" ht="16.5">
      <c r="A20" s="119">
        <v>60</v>
      </c>
      <c r="B20" s="119">
        <v>90</v>
      </c>
      <c r="C20" s="119">
        <v>125</v>
      </c>
      <c r="D20" s="119">
        <v>3600</v>
      </c>
      <c r="E20" s="119">
        <v>93</v>
      </c>
      <c r="F20" s="119">
        <v>94.5</v>
      </c>
      <c r="G20" s="119">
        <v>95</v>
      </c>
      <c r="H20" s="119">
        <v>95.4</v>
      </c>
    </row>
    <row r="21" spans="1:8" ht="16.5">
      <c r="A21" s="119">
        <v>60</v>
      </c>
      <c r="B21" s="119">
        <v>110</v>
      </c>
      <c r="C21" s="119">
        <v>150</v>
      </c>
      <c r="D21" s="119">
        <v>3600</v>
      </c>
      <c r="E21" s="119">
        <v>93</v>
      </c>
      <c r="F21" s="119">
        <v>94.5</v>
      </c>
      <c r="G21" s="119">
        <v>95</v>
      </c>
      <c r="H21" s="119">
        <v>95.4</v>
      </c>
    </row>
    <row r="22" spans="1:8" ht="16.5">
      <c r="A22" s="119">
        <v>60</v>
      </c>
      <c r="B22" s="119">
        <v>132</v>
      </c>
      <c r="C22" s="121" t="s">
        <v>234</v>
      </c>
      <c r="D22" s="119">
        <v>3600</v>
      </c>
      <c r="E22" s="121" t="s">
        <v>234</v>
      </c>
      <c r="F22" s="121" t="s">
        <v>234</v>
      </c>
      <c r="G22" s="121" t="s">
        <v>234</v>
      </c>
      <c r="H22" s="121" t="s">
        <v>234</v>
      </c>
    </row>
    <row r="23" spans="1:8" ht="16.5">
      <c r="A23" s="119">
        <v>60</v>
      </c>
      <c r="B23" s="119">
        <v>150</v>
      </c>
      <c r="C23" s="119">
        <v>200</v>
      </c>
      <c r="D23" s="119">
        <v>3600</v>
      </c>
      <c r="E23" s="119">
        <v>94.1</v>
      </c>
      <c r="F23" s="119">
        <v>95</v>
      </c>
      <c r="G23" s="119">
        <v>95.4</v>
      </c>
      <c r="H23" s="119">
        <v>95.8</v>
      </c>
    </row>
    <row r="24" spans="1:8" ht="16.5">
      <c r="A24" s="119">
        <v>60</v>
      </c>
      <c r="B24" s="119">
        <v>160</v>
      </c>
      <c r="C24" s="121" t="s">
        <v>234</v>
      </c>
      <c r="D24" s="119">
        <v>3600</v>
      </c>
      <c r="E24" s="121" t="s">
        <v>234</v>
      </c>
      <c r="F24" s="121" t="s">
        <v>234</v>
      </c>
      <c r="G24" s="121" t="s">
        <v>234</v>
      </c>
      <c r="H24" s="121" t="s">
        <v>234</v>
      </c>
    </row>
    <row r="25" spans="1:8" ht="16.5">
      <c r="A25" s="119">
        <v>60</v>
      </c>
      <c r="B25" s="119">
        <v>185</v>
      </c>
      <c r="C25" s="119">
        <v>250</v>
      </c>
      <c r="D25" s="119">
        <v>3600</v>
      </c>
      <c r="E25" s="119">
        <v>94.1</v>
      </c>
      <c r="F25" s="119">
        <v>95.4</v>
      </c>
      <c r="G25" s="119">
        <v>95.8</v>
      </c>
      <c r="H25" s="119">
        <v>96.2</v>
      </c>
    </row>
    <row r="26" spans="1:8" ht="16.5">
      <c r="A26" s="119">
        <v>60</v>
      </c>
      <c r="B26" s="119">
        <v>200</v>
      </c>
      <c r="C26" s="121" t="s">
        <v>234</v>
      </c>
      <c r="D26" s="119">
        <v>3600</v>
      </c>
      <c r="E26" s="121" t="s">
        <v>234</v>
      </c>
      <c r="F26" s="121" t="s">
        <v>234</v>
      </c>
      <c r="G26" s="121" t="s">
        <v>234</v>
      </c>
      <c r="H26" s="121" t="s">
        <v>234</v>
      </c>
    </row>
    <row r="27" spans="1:8" ht="16.5">
      <c r="A27" s="119">
        <v>60</v>
      </c>
      <c r="B27" s="119">
        <v>220</v>
      </c>
      <c r="C27" s="119">
        <v>300</v>
      </c>
      <c r="D27" s="119">
        <v>3600</v>
      </c>
      <c r="E27" s="119">
        <v>94.1</v>
      </c>
      <c r="F27" s="119">
        <v>95.4</v>
      </c>
      <c r="G27" s="119">
        <v>95.8</v>
      </c>
      <c r="H27" s="119">
        <v>96.2</v>
      </c>
    </row>
    <row r="28" spans="1:8" ht="16.5">
      <c r="A28" s="119">
        <v>60</v>
      </c>
      <c r="B28" s="119">
        <v>250</v>
      </c>
      <c r="C28" s="119">
        <v>350</v>
      </c>
      <c r="D28" s="119">
        <v>3600</v>
      </c>
      <c r="E28" s="119">
        <v>94.1</v>
      </c>
      <c r="F28" s="119">
        <v>95.4</v>
      </c>
      <c r="G28" s="119">
        <v>95.8</v>
      </c>
      <c r="H28" s="119">
        <v>96.2</v>
      </c>
    </row>
    <row r="29" spans="1:8" ht="16.5">
      <c r="A29" s="119">
        <v>60</v>
      </c>
      <c r="B29" s="119">
        <v>300</v>
      </c>
      <c r="C29" s="119">
        <v>400</v>
      </c>
      <c r="D29" s="119">
        <v>3600</v>
      </c>
      <c r="E29" s="119">
        <v>94.1</v>
      </c>
      <c r="F29" s="119">
        <v>95.4</v>
      </c>
      <c r="G29" s="119">
        <v>95.8</v>
      </c>
      <c r="H29" s="119">
        <v>96.2</v>
      </c>
    </row>
    <row r="30" spans="1:8" ht="16.5">
      <c r="A30" s="119">
        <v>60</v>
      </c>
      <c r="B30" s="119">
        <v>330</v>
      </c>
      <c r="C30" s="119">
        <v>450</v>
      </c>
      <c r="D30" s="119">
        <v>3600</v>
      </c>
      <c r="E30" s="119">
        <v>94.1</v>
      </c>
      <c r="F30" s="119">
        <v>95.4</v>
      </c>
      <c r="G30" s="119">
        <v>95.8</v>
      </c>
      <c r="H30" s="119">
        <v>96.2</v>
      </c>
    </row>
    <row r="31" spans="1:8" ht="16.5">
      <c r="A31" s="119">
        <v>60</v>
      </c>
      <c r="B31" s="119">
        <v>375</v>
      </c>
      <c r="C31" s="119">
        <v>500</v>
      </c>
      <c r="D31" s="119">
        <v>3600</v>
      </c>
      <c r="E31" s="119">
        <v>94.1</v>
      </c>
      <c r="F31" s="119">
        <v>95.4</v>
      </c>
      <c r="G31" s="119">
        <v>95.8</v>
      </c>
      <c r="H31" s="119">
        <v>96.2</v>
      </c>
    </row>
    <row r="32" spans="1:8" ht="16.5">
      <c r="A32" s="122">
        <v>60</v>
      </c>
      <c r="B32" s="122">
        <v>0.75</v>
      </c>
      <c r="C32" s="122">
        <v>1</v>
      </c>
      <c r="D32" s="122">
        <v>1800</v>
      </c>
      <c r="E32" s="122">
        <v>78</v>
      </c>
      <c r="F32" s="122">
        <v>82.5</v>
      </c>
      <c r="G32" s="122">
        <v>85.5</v>
      </c>
      <c r="H32" s="122">
        <v>85.5</v>
      </c>
    </row>
    <row r="33" spans="1:8" ht="16.5">
      <c r="A33" s="122">
        <v>60</v>
      </c>
      <c r="B33" s="122">
        <v>1.1000000000000001</v>
      </c>
      <c r="C33" s="122">
        <v>1.5</v>
      </c>
      <c r="D33" s="122">
        <v>1800</v>
      </c>
      <c r="E33" s="122">
        <v>79</v>
      </c>
      <c r="F33" s="122">
        <v>84</v>
      </c>
      <c r="G33" s="122">
        <v>86.5</v>
      </c>
      <c r="H33" s="122">
        <v>87.5</v>
      </c>
    </row>
    <row r="34" spans="1:8" ht="16.5">
      <c r="A34" s="122">
        <v>60</v>
      </c>
      <c r="B34" s="122">
        <v>1.5</v>
      </c>
      <c r="C34" s="122">
        <v>2</v>
      </c>
      <c r="D34" s="122">
        <v>1800</v>
      </c>
      <c r="E34" s="122">
        <v>81.5</v>
      </c>
      <c r="F34" s="122">
        <v>84</v>
      </c>
      <c r="G34" s="122">
        <v>86.5</v>
      </c>
      <c r="H34" s="122">
        <v>88.5</v>
      </c>
    </row>
    <row r="35" spans="1:8" ht="16.5">
      <c r="A35" s="122">
        <v>60</v>
      </c>
      <c r="B35" s="122">
        <v>2.2000000000000002</v>
      </c>
      <c r="C35" s="122">
        <v>3</v>
      </c>
      <c r="D35" s="122">
        <v>1800</v>
      </c>
      <c r="E35" s="122">
        <v>83</v>
      </c>
      <c r="F35" s="122">
        <v>87.5</v>
      </c>
      <c r="G35" s="122">
        <v>89.5</v>
      </c>
      <c r="H35" s="122">
        <v>91</v>
      </c>
    </row>
    <row r="36" spans="1:8" ht="16.5">
      <c r="A36" s="122">
        <v>60</v>
      </c>
      <c r="B36" s="122">
        <v>3</v>
      </c>
      <c r="C36" s="123" t="s">
        <v>234</v>
      </c>
      <c r="D36" s="122">
        <v>1800</v>
      </c>
      <c r="E36" s="123" t="s">
        <v>234</v>
      </c>
      <c r="F36" s="123" t="s">
        <v>234</v>
      </c>
      <c r="G36" s="123" t="s">
        <v>234</v>
      </c>
      <c r="H36" s="123" t="s">
        <v>234</v>
      </c>
    </row>
    <row r="37" spans="1:8" ht="16.5">
      <c r="A37" s="122">
        <v>60</v>
      </c>
      <c r="B37" s="122">
        <v>3.7</v>
      </c>
      <c r="C37" s="122">
        <v>5</v>
      </c>
      <c r="D37" s="122">
        <v>1800</v>
      </c>
      <c r="E37" s="122">
        <v>85</v>
      </c>
      <c r="F37" s="122">
        <v>87.5</v>
      </c>
      <c r="G37" s="122">
        <v>89.5</v>
      </c>
      <c r="H37" s="122">
        <v>91</v>
      </c>
    </row>
    <row r="38" spans="1:8" ht="16.5">
      <c r="A38" s="122">
        <v>60</v>
      </c>
      <c r="B38" s="122">
        <v>4</v>
      </c>
      <c r="C38" s="123" t="s">
        <v>234</v>
      </c>
      <c r="D38" s="122">
        <v>1800</v>
      </c>
      <c r="E38" s="123" t="s">
        <v>234</v>
      </c>
      <c r="F38" s="123" t="s">
        <v>234</v>
      </c>
      <c r="G38" s="123" t="s">
        <v>234</v>
      </c>
      <c r="H38" s="123" t="s">
        <v>234</v>
      </c>
    </row>
    <row r="39" spans="1:8" ht="16.5">
      <c r="A39" s="122">
        <v>60</v>
      </c>
      <c r="B39" s="122">
        <v>5.5</v>
      </c>
      <c r="C39" s="122">
        <v>7.5</v>
      </c>
      <c r="D39" s="122">
        <v>1800</v>
      </c>
      <c r="E39" s="122">
        <v>87</v>
      </c>
      <c r="F39" s="122">
        <v>89.5</v>
      </c>
      <c r="G39" s="122">
        <v>91.7</v>
      </c>
      <c r="H39" s="122">
        <v>92.4</v>
      </c>
    </row>
    <row r="40" spans="1:8" ht="16.5">
      <c r="A40" s="122">
        <v>60</v>
      </c>
      <c r="B40" s="122">
        <v>7.5</v>
      </c>
      <c r="C40" s="122">
        <v>10</v>
      </c>
      <c r="D40" s="122">
        <v>1800</v>
      </c>
      <c r="E40" s="122">
        <v>87.5</v>
      </c>
      <c r="F40" s="122">
        <v>89.5</v>
      </c>
      <c r="G40" s="122">
        <v>91.7</v>
      </c>
      <c r="H40" s="122">
        <v>92.4</v>
      </c>
    </row>
    <row r="41" spans="1:8" ht="16.5">
      <c r="A41" s="122">
        <v>60</v>
      </c>
      <c r="B41" s="122">
        <v>11</v>
      </c>
      <c r="C41" s="122">
        <v>15</v>
      </c>
      <c r="D41" s="122">
        <v>1800</v>
      </c>
      <c r="E41" s="122">
        <v>88.5</v>
      </c>
      <c r="F41" s="122">
        <v>91</v>
      </c>
      <c r="G41" s="122">
        <v>92.4</v>
      </c>
      <c r="H41" s="122">
        <v>93.6</v>
      </c>
    </row>
    <row r="42" spans="1:8" ht="16.5">
      <c r="A42" s="122">
        <v>60</v>
      </c>
      <c r="B42" s="122">
        <v>15</v>
      </c>
      <c r="C42" s="122">
        <v>20</v>
      </c>
      <c r="D42" s="122">
        <v>1800</v>
      </c>
      <c r="E42" s="122">
        <v>89.5</v>
      </c>
      <c r="F42" s="122">
        <v>91</v>
      </c>
      <c r="G42" s="122">
        <v>93</v>
      </c>
      <c r="H42" s="122">
        <v>94.1</v>
      </c>
    </row>
    <row r="43" spans="1:8" ht="16.5">
      <c r="A43" s="122">
        <v>60</v>
      </c>
      <c r="B43" s="122">
        <v>18.5</v>
      </c>
      <c r="C43" s="122">
        <v>25</v>
      </c>
      <c r="D43" s="122">
        <v>1800</v>
      </c>
      <c r="E43" s="122">
        <v>90.5</v>
      </c>
      <c r="F43" s="122">
        <v>92.4</v>
      </c>
      <c r="G43" s="122">
        <v>93.6</v>
      </c>
      <c r="H43" s="122">
        <v>94.5</v>
      </c>
    </row>
    <row r="44" spans="1:8" ht="16.5">
      <c r="A44" s="122">
        <v>60</v>
      </c>
      <c r="B44" s="122">
        <v>22</v>
      </c>
      <c r="C44" s="122">
        <v>30</v>
      </c>
      <c r="D44" s="122">
        <v>1800</v>
      </c>
      <c r="E44" s="122">
        <v>91</v>
      </c>
      <c r="F44" s="122">
        <v>92.4</v>
      </c>
      <c r="G44" s="122">
        <v>93.6</v>
      </c>
      <c r="H44" s="122">
        <v>94.5</v>
      </c>
    </row>
    <row r="45" spans="1:8" ht="16.5">
      <c r="A45" s="122">
        <v>60</v>
      </c>
      <c r="B45" s="122">
        <v>30</v>
      </c>
      <c r="C45" s="122">
        <v>40</v>
      </c>
      <c r="D45" s="122">
        <v>1800</v>
      </c>
      <c r="E45" s="122">
        <v>91.7</v>
      </c>
      <c r="F45" s="122">
        <v>93</v>
      </c>
      <c r="G45" s="122">
        <v>94.1</v>
      </c>
      <c r="H45" s="122">
        <v>95</v>
      </c>
    </row>
    <row r="46" spans="1:8" ht="16.5">
      <c r="A46" s="122">
        <v>60</v>
      </c>
      <c r="B46" s="122">
        <v>37</v>
      </c>
      <c r="C46" s="122">
        <v>50</v>
      </c>
      <c r="D46" s="122">
        <v>1800</v>
      </c>
      <c r="E46" s="122">
        <v>92.4</v>
      </c>
      <c r="F46" s="122">
        <v>93</v>
      </c>
      <c r="G46" s="122">
        <v>94.5</v>
      </c>
      <c r="H46" s="122">
        <v>95.4</v>
      </c>
    </row>
    <row r="47" spans="1:8" ht="16.5">
      <c r="A47" s="122">
        <v>60</v>
      </c>
      <c r="B47" s="122">
        <v>45</v>
      </c>
      <c r="C47" s="122">
        <v>60</v>
      </c>
      <c r="D47" s="122">
        <v>1800</v>
      </c>
      <c r="E47" s="122">
        <v>93</v>
      </c>
      <c r="F47" s="122">
        <v>93.6</v>
      </c>
      <c r="G47" s="122">
        <v>95</v>
      </c>
      <c r="H47" s="122">
        <v>95.4</v>
      </c>
    </row>
    <row r="48" spans="1:8" ht="16.5">
      <c r="A48" s="122">
        <v>60</v>
      </c>
      <c r="B48" s="122">
        <v>55</v>
      </c>
      <c r="C48" s="122">
        <v>75</v>
      </c>
      <c r="D48" s="122">
        <v>1800</v>
      </c>
      <c r="E48" s="122">
        <v>93</v>
      </c>
      <c r="F48" s="122">
        <v>94.1</v>
      </c>
      <c r="G48" s="122">
        <v>95.4</v>
      </c>
      <c r="H48" s="122">
        <v>95.8</v>
      </c>
    </row>
    <row r="49" spans="1:8" ht="16.5">
      <c r="A49" s="122">
        <v>60</v>
      </c>
      <c r="B49" s="122">
        <v>75</v>
      </c>
      <c r="C49" s="122">
        <v>100</v>
      </c>
      <c r="D49" s="122">
        <v>1800</v>
      </c>
      <c r="E49" s="122">
        <v>93.2</v>
      </c>
      <c r="F49" s="122">
        <v>94.5</v>
      </c>
      <c r="G49" s="122">
        <v>95.4</v>
      </c>
      <c r="H49" s="122">
        <v>96.2</v>
      </c>
    </row>
    <row r="50" spans="1:8" ht="16.5">
      <c r="A50" s="122">
        <v>60</v>
      </c>
      <c r="B50" s="122">
        <v>90</v>
      </c>
      <c r="C50" s="122">
        <v>125</v>
      </c>
      <c r="D50" s="122">
        <v>1800</v>
      </c>
      <c r="E50" s="122">
        <v>93.2</v>
      </c>
      <c r="F50" s="122">
        <v>94.5</v>
      </c>
      <c r="G50" s="122">
        <v>95.4</v>
      </c>
      <c r="H50" s="122">
        <v>96.2</v>
      </c>
    </row>
    <row r="51" spans="1:8" ht="16.5">
      <c r="A51" s="122">
        <v>60</v>
      </c>
      <c r="B51" s="122">
        <v>110</v>
      </c>
      <c r="C51" s="122">
        <v>150</v>
      </c>
      <c r="D51" s="122">
        <v>1800</v>
      </c>
      <c r="E51" s="122">
        <v>93.5</v>
      </c>
      <c r="F51" s="122">
        <v>95</v>
      </c>
      <c r="G51" s="122">
        <v>95.8</v>
      </c>
      <c r="H51" s="122">
        <v>96.2</v>
      </c>
    </row>
    <row r="52" spans="1:8" ht="16.5">
      <c r="A52" s="122">
        <v>60</v>
      </c>
      <c r="B52" s="122">
        <v>132</v>
      </c>
      <c r="C52" s="123" t="s">
        <v>234</v>
      </c>
      <c r="D52" s="122">
        <v>1800</v>
      </c>
      <c r="E52" s="123" t="s">
        <v>234</v>
      </c>
      <c r="F52" s="123" t="s">
        <v>234</v>
      </c>
      <c r="G52" s="123" t="s">
        <v>234</v>
      </c>
      <c r="H52" s="123" t="s">
        <v>234</v>
      </c>
    </row>
    <row r="53" spans="1:8" ht="16.5">
      <c r="A53" s="122">
        <v>60</v>
      </c>
      <c r="B53" s="122">
        <v>150</v>
      </c>
      <c r="C53" s="122">
        <v>200</v>
      </c>
      <c r="D53" s="122">
        <v>1800</v>
      </c>
      <c r="E53" s="122">
        <v>94.5</v>
      </c>
      <c r="F53" s="122">
        <v>95</v>
      </c>
      <c r="G53" s="122">
        <v>96.2</v>
      </c>
      <c r="H53" s="122">
        <v>96.5</v>
      </c>
    </row>
    <row r="54" spans="1:8" ht="16.5">
      <c r="A54" s="122">
        <v>60</v>
      </c>
      <c r="B54" s="122">
        <v>160</v>
      </c>
      <c r="C54" s="123" t="s">
        <v>234</v>
      </c>
      <c r="D54" s="122">
        <v>1800</v>
      </c>
      <c r="E54" s="123" t="s">
        <v>234</v>
      </c>
      <c r="F54" s="123" t="s">
        <v>234</v>
      </c>
      <c r="G54" s="123" t="s">
        <v>234</v>
      </c>
      <c r="H54" s="123" t="s">
        <v>234</v>
      </c>
    </row>
    <row r="55" spans="1:8" ht="16.5">
      <c r="A55" s="122">
        <v>60</v>
      </c>
      <c r="B55" s="122">
        <v>185</v>
      </c>
      <c r="C55" s="122">
        <v>250</v>
      </c>
      <c r="D55" s="122">
        <v>1800</v>
      </c>
      <c r="E55" s="122">
        <v>94.5</v>
      </c>
      <c r="F55" s="122">
        <v>95.4</v>
      </c>
      <c r="G55" s="122">
        <v>96.2</v>
      </c>
      <c r="H55" s="122">
        <v>96.5</v>
      </c>
    </row>
    <row r="56" spans="1:8" ht="16.5">
      <c r="A56" s="122">
        <v>60</v>
      </c>
      <c r="B56" s="122">
        <v>200</v>
      </c>
      <c r="C56" s="123" t="s">
        <v>234</v>
      </c>
      <c r="D56" s="122">
        <v>1800</v>
      </c>
      <c r="E56" s="123" t="s">
        <v>234</v>
      </c>
      <c r="F56" s="123" t="s">
        <v>234</v>
      </c>
      <c r="G56" s="123" t="s">
        <v>234</v>
      </c>
      <c r="H56" s="123" t="s">
        <v>234</v>
      </c>
    </row>
    <row r="57" spans="1:8" ht="16.5">
      <c r="A57" s="122">
        <v>60</v>
      </c>
      <c r="B57" s="122">
        <v>220</v>
      </c>
      <c r="C57" s="122">
        <v>300</v>
      </c>
      <c r="D57" s="122">
        <v>1800</v>
      </c>
      <c r="E57" s="122">
        <v>94.5</v>
      </c>
      <c r="F57" s="122">
        <v>95.4</v>
      </c>
      <c r="G57" s="122">
        <v>96.2</v>
      </c>
      <c r="H57" s="122">
        <v>96.8</v>
      </c>
    </row>
    <row r="58" spans="1:8" ht="16.5">
      <c r="A58" s="122">
        <v>60</v>
      </c>
      <c r="B58" s="122">
        <v>250</v>
      </c>
      <c r="C58" s="122">
        <v>350</v>
      </c>
      <c r="D58" s="122">
        <v>1800</v>
      </c>
      <c r="E58" s="122">
        <v>94.5</v>
      </c>
      <c r="F58" s="122">
        <v>95.4</v>
      </c>
      <c r="G58" s="122">
        <v>96.2</v>
      </c>
      <c r="H58" s="122">
        <v>96.8</v>
      </c>
    </row>
    <row r="59" spans="1:8" ht="16.5">
      <c r="A59" s="122">
        <v>60</v>
      </c>
      <c r="B59" s="122">
        <v>300</v>
      </c>
      <c r="C59" s="122">
        <v>400</v>
      </c>
      <c r="D59" s="122">
        <v>1800</v>
      </c>
      <c r="E59" s="122">
        <v>94.5</v>
      </c>
      <c r="F59" s="122">
        <v>95.4</v>
      </c>
      <c r="G59" s="122">
        <v>96.2</v>
      </c>
      <c r="H59" s="122">
        <v>96.8</v>
      </c>
    </row>
    <row r="60" spans="1:8" ht="16.5">
      <c r="A60" s="122">
        <v>60</v>
      </c>
      <c r="B60" s="122">
        <v>330</v>
      </c>
      <c r="C60" s="122">
        <v>450</v>
      </c>
      <c r="D60" s="122">
        <v>1800</v>
      </c>
      <c r="E60" s="122">
        <v>94.5</v>
      </c>
      <c r="F60" s="122">
        <v>95.4</v>
      </c>
      <c r="G60" s="122">
        <v>96.2</v>
      </c>
      <c r="H60" s="122">
        <v>96.8</v>
      </c>
    </row>
    <row r="61" spans="1:8" ht="16.5">
      <c r="A61" s="122">
        <v>60</v>
      </c>
      <c r="B61" s="122">
        <v>375</v>
      </c>
      <c r="C61" s="122">
        <v>500</v>
      </c>
      <c r="D61" s="122">
        <v>1800</v>
      </c>
      <c r="E61" s="122">
        <v>94.5</v>
      </c>
      <c r="F61" s="122">
        <v>95.4</v>
      </c>
      <c r="G61" s="122">
        <v>96.2</v>
      </c>
      <c r="H61" s="122">
        <v>96.8</v>
      </c>
    </row>
    <row r="62" spans="1:8" ht="16.5">
      <c r="A62" s="122">
        <v>60</v>
      </c>
      <c r="B62" s="122">
        <v>0.75</v>
      </c>
      <c r="C62" s="122">
        <v>1</v>
      </c>
      <c r="D62" s="122">
        <v>1800</v>
      </c>
      <c r="E62" s="122">
        <v>73</v>
      </c>
      <c r="F62" s="122">
        <v>80</v>
      </c>
      <c r="G62" s="122">
        <v>82.5</v>
      </c>
      <c r="H62" s="122">
        <v>84</v>
      </c>
    </row>
    <row r="63" spans="1:8" ht="16.5">
      <c r="A63" s="124">
        <v>60</v>
      </c>
      <c r="B63" s="124">
        <v>1.1000000000000001</v>
      </c>
      <c r="C63" s="124">
        <v>1.5</v>
      </c>
      <c r="D63" s="124">
        <v>1200</v>
      </c>
      <c r="E63" s="124">
        <v>75</v>
      </c>
      <c r="F63" s="124">
        <v>85.5</v>
      </c>
      <c r="G63" s="124">
        <v>87.5</v>
      </c>
      <c r="H63" s="124">
        <v>88.5</v>
      </c>
    </row>
    <row r="64" spans="1:8" ht="16.5">
      <c r="A64" s="124">
        <v>60</v>
      </c>
      <c r="B64" s="124">
        <v>1.5</v>
      </c>
      <c r="C64" s="124">
        <v>2</v>
      </c>
      <c r="D64" s="124">
        <v>1200</v>
      </c>
      <c r="E64" s="124">
        <v>77</v>
      </c>
      <c r="F64" s="124">
        <v>86.5</v>
      </c>
      <c r="G64" s="124">
        <v>88.5</v>
      </c>
      <c r="H64" s="124">
        <v>89.5</v>
      </c>
    </row>
    <row r="65" spans="1:8" ht="16.5">
      <c r="A65" s="124">
        <v>60</v>
      </c>
      <c r="B65" s="124">
        <v>2.2000000000000002</v>
      </c>
      <c r="C65" s="124">
        <v>3</v>
      </c>
      <c r="D65" s="124">
        <v>1200</v>
      </c>
      <c r="E65" s="124">
        <v>78.5</v>
      </c>
      <c r="F65" s="124">
        <v>87.5</v>
      </c>
      <c r="G65" s="124">
        <v>89.5</v>
      </c>
      <c r="H65" s="124">
        <v>90.2</v>
      </c>
    </row>
    <row r="66" spans="1:8" ht="16.5">
      <c r="A66" s="124">
        <v>60</v>
      </c>
      <c r="B66" s="124">
        <v>3</v>
      </c>
      <c r="C66" s="125" t="s">
        <v>234</v>
      </c>
      <c r="D66" s="125" t="s">
        <v>234</v>
      </c>
      <c r="E66" s="125" t="s">
        <v>234</v>
      </c>
      <c r="F66" s="125" t="s">
        <v>234</v>
      </c>
      <c r="G66" s="125" t="s">
        <v>234</v>
      </c>
      <c r="H66" s="125" t="s">
        <v>234</v>
      </c>
    </row>
    <row r="67" spans="1:8" ht="16.5">
      <c r="A67" s="124">
        <v>60</v>
      </c>
      <c r="B67" s="124">
        <v>3.7</v>
      </c>
      <c r="C67" s="124">
        <v>5</v>
      </c>
      <c r="D67" s="124">
        <v>1200</v>
      </c>
      <c r="E67" s="124">
        <v>83.5</v>
      </c>
      <c r="F67" s="124">
        <v>87.5</v>
      </c>
      <c r="G67" s="124">
        <v>89.5</v>
      </c>
      <c r="H67" s="124">
        <v>90.2</v>
      </c>
    </row>
    <row r="68" spans="1:8" ht="16.5">
      <c r="A68" s="124">
        <v>60</v>
      </c>
      <c r="B68" s="124">
        <v>4</v>
      </c>
      <c r="C68" s="125" t="s">
        <v>234</v>
      </c>
      <c r="D68" s="125" t="s">
        <v>234</v>
      </c>
      <c r="E68" s="125" t="s">
        <v>234</v>
      </c>
      <c r="F68" s="125" t="s">
        <v>234</v>
      </c>
      <c r="G68" s="125" t="s">
        <v>234</v>
      </c>
      <c r="H68" s="125" t="s">
        <v>234</v>
      </c>
    </row>
    <row r="69" spans="1:8" ht="16.5">
      <c r="A69" s="124">
        <v>60</v>
      </c>
      <c r="B69" s="124">
        <v>5.5</v>
      </c>
      <c r="C69" s="124">
        <v>7.5</v>
      </c>
      <c r="D69" s="124">
        <v>1200</v>
      </c>
      <c r="E69" s="124">
        <v>85</v>
      </c>
      <c r="F69" s="124">
        <v>89.5</v>
      </c>
      <c r="G69" s="124">
        <v>91</v>
      </c>
      <c r="H69" s="124">
        <v>91.7</v>
      </c>
    </row>
    <row r="70" spans="1:8" ht="16.5">
      <c r="A70" s="124">
        <v>60</v>
      </c>
      <c r="B70" s="124">
        <v>7.5</v>
      </c>
      <c r="C70" s="124">
        <v>10</v>
      </c>
      <c r="D70" s="124">
        <v>1200</v>
      </c>
      <c r="E70" s="124">
        <v>86</v>
      </c>
      <c r="F70" s="124">
        <v>89.5</v>
      </c>
      <c r="G70" s="124">
        <v>91</v>
      </c>
      <c r="H70" s="124">
        <v>92.4</v>
      </c>
    </row>
    <row r="71" spans="1:8" ht="16.5">
      <c r="A71" s="124">
        <v>60</v>
      </c>
      <c r="B71" s="124">
        <v>11</v>
      </c>
      <c r="C71" s="124">
        <v>15</v>
      </c>
      <c r="D71" s="124">
        <v>1200</v>
      </c>
      <c r="E71" s="124">
        <v>89</v>
      </c>
      <c r="F71" s="124">
        <v>90.2</v>
      </c>
      <c r="G71" s="124">
        <v>91.7</v>
      </c>
      <c r="H71" s="124">
        <v>93</v>
      </c>
    </row>
    <row r="72" spans="1:8" ht="16.5">
      <c r="A72" s="124">
        <v>60</v>
      </c>
      <c r="B72" s="124">
        <v>15</v>
      </c>
      <c r="C72" s="124">
        <v>20</v>
      </c>
      <c r="D72" s="124">
        <v>1200</v>
      </c>
      <c r="E72" s="124">
        <v>89.5</v>
      </c>
      <c r="F72" s="124">
        <v>90.2</v>
      </c>
      <c r="G72" s="124">
        <v>91.7</v>
      </c>
      <c r="H72" s="124">
        <v>93</v>
      </c>
    </row>
    <row r="73" spans="1:8" ht="16.5">
      <c r="A73" s="124">
        <v>60</v>
      </c>
      <c r="B73" s="124">
        <v>18.5</v>
      </c>
      <c r="C73" s="124">
        <v>25</v>
      </c>
      <c r="D73" s="124">
        <v>1200</v>
      </c>
      <c r="E73" s="124">
        <v>90.2</v>
      </c>
      <c r="F73" s="124">
        <v>91.7</v>
      </c>
      <c r="G73" s="124">
        <v>93</v>
      </c>
      <c r="H73" s="124">
        <v>94.1</v>
      </c>
    </row>
    <row r="74" spans="1:8" ht="16.5">
      <c r="A74" s="124">
        <v>60</v>
      </c>
      <c r="B74" s="124">
        <v>22</v>
      </c>
      <c r="C74" s="124">
        <v>30</v>
      </c>
      <c r="D74" s="124">
        <v>1200</v>
      </c>
      <c r="E74" s="124">
        <v>91</v>
      </c>
      <c r="F74" s="124">
        <v>91.7</v>
      </c>
      <c r="G74" s="124">
        <v>93</v>
      </c>
      <c r="H74" s="124">
        <v>94.1</v>
      </c>
    </row>
    <row r="75" spans="1:8" ht="16.5">
      <c r="A75" s="124">
        <v>60</v>
      </c>
      <c r="B75" s="124">
        <v>30</v>
      </c>
      <c r="C75" s="124">
        <v>40</v>
      </c>
      <c r="D75" s="124">
        <v>1200</v>
      </c>
      <c r="E75" s="124">
        <v>91.7</v>
      </c>
      <c r="F75" s="124">
        <v>93</v>
      </c>
      <c r="G75" s="124">
        <v>94.1</v>
      </c>
      <c r="H75" s="124">
        <v>95</v>
      </c>
    </row>
    <row r="76" spans="1:8" ht="16.5">
      <c r="A76" s="124">
        <v>60</v>
      </c>
      <c r="B76" s="124">
        <v>37</v>
      </c>
      <c r="C76" s="124">
        <v>50</v>
      </c>
      <c r="D76" s="124">
        <v>1200</v>
      </c>
      <c r="E76" s="124">
        <v>91.7</v>
      </c>
      <c r="F76" s="124">
        <v>93</v>
      </c>
      <c r="G76" s="124">
        <v>94.1</v>
      </c>
      <c r="H76" s="124">
        <v>95</v>
      </c>
    </row>
    <row r="77" spans="1:8" ht="16.5">
      <c r="A77" s="124">
        <v>60</v>
      </c>
      <c r="B77" s="124">
        <v>45</v>
      </c>
      <c r="C77" s="124">
        <v>60</v>
      </c>
      <c r="D77" s="124">
        <v>1200</v>
      </c>
      <c r="E77" s="124">
        <v>91.7</v>
      </c>
      <c r="F77" s="124">
        <v>93.6</v>
      </c>
      <c r="G77" s="124">
        <v>94.5</v>
      </c>
      <c r="H77" s="124">
        <v>95.4</v>
      </c>
    </row>
    <row r="78" spans="1:8" ht="16.5">
      <c r="A78" s="124">
        <v>60</v>
      </c>
      <c r="B78" s="124">
        <v>55</v>
      </c>
      <c r="C78" s="124">
        <v>75</v>
      </c>
      <c r="D78" s="124">
        <v>1200</v>
      </c>
      <c r="E78" s="124">
        <v>92.1</v>
      </c>
      <c r="F78" s="124">
        <v>93.6</v>
      </c>
      <c r="G78" s="124">
        <v>94.5</v>
      </c>
      <c r="H78" s="124">
        <v>95.4</v>
      </c>
    </row>
    <row r="79" spans="1:8" ht="16.5">
      <c r="A79" s="124">
        <v>60</v>
      </c>
      <c r="B79" s="124">
        <v>75</v>
      </c>
      <c r="C79" s="124">
        <v>100</v>
      </c>
      <c r="D79" s="124">
        <v>1200</v>
      </c>
      <c r="E79" s="124">
        <v>93</v>
      </c>
      <c r="F79" s="124">
        <v>94.1</v>
      </c>
      <c r="G79" s="124">
        <v>95</v>
      </c>
      <c r="H79" s="124">
        <v>95.8</v>
      </c>
    </row>
    <row r="80" spans="1:8" ht="16.5">
      <c r="A80" s="124">
        <v>60</v>
      </c>
      <c r="B80" s="124">
        <v>90</v>
      </c>
      <c r="C80" s="124">
        <v>125</v>
      </c>
      <c r="D80" s="124">
        <v>1200</v>
      </c>
      <c r="E80" s="124">
        <v>93</v>
      </c>
      <c r="F80" s="124">
        <v>94.1</v>
      </c>
      <c r="G80" s="124">
        <v>95</v>
      </c>
      <c r="H80" s="124">
        <v>95.8</v>
      </c>
    </row>
    <row r="81" spans="1:8" ht="16.5">
      <c r="A81" s="124">
        <v>60</v>
      </c>
      <c r="B81" s="124">
        <v>110</v>
      </c>
      <c r="C81" s="124">
        <v>150</v>
      </c>
      <c r="D81" s="124">
        <v>1200</v>
      </c>
      <c r="E81" s="124">
        <v>94.1</v>
      </c>
      <c r="F81" s="124">
        <v>95</v>
      </c>
      <c r="G81" s="124">
        <v>95.8</v>
      </c>
      <c r="H81" s="124">
        <v>96.2</v>
      </c>
    </row>
    <row r="82" spans="1:8" ht="16.5">
      <c r="A82" s="124">
        <v>60</v>
      </c>
      <c r="B82" s="124">
        <v>132</v>
      </c>
      <c r="C82" s="125" t="s">
        <v>234</v>
      </c>
      <c r="D82" s="125" t="s">
        <v>234</v>
      </c>
      <c r="E82" s="125" t="s">
        <v>234</v>
      </c>
      <c r="F82" s="125" t="s">
        <v>234</v>
      </c>
      <c r="G82" s="125" t="s">
        <v>234</v>
      </c>
      <c r="H82" s="125" t="s">
        <v>234</v>
      </c>
    </row>
    <row r="83" spans="1:8" ht="16.5">
      <c r="A83" s="124">
        <v>60</v>
      </c>
      <c r="B83" s="124">
        <v>150</v>
      </c>
      <c r="C83" s="124">
        <v>200</v>
      </c>
      <c r="D83" s="124">
        <v>1200</v>
      </c>
      <c r="E83" s="124">
        <v>94.1</v>
      </c>
      <c r="F83" s="124">
        <v>95</v>
      </c>
      <c r="G83" s="124">
        <v>95.8</v>
      </c>
      <c r="H83" s="124">
        <v>96.2</v>
      </c>
    </row>
    <row r="84" spans="1:8" ht="16.5">
      <c r="A84" s="124">
        <v>60</v>
      </c>
      <c r="B84" s="124">
        <v>160</v>
      </c>
      <c r="C84" s="125" t="s">
        <v>234</v>
      </c>
      <c r="D84" s="125" t="s">
        <v>234</v>
      </c>
      <c r="E84" s="125" t="s">
        <v>234</v>
      </c>
      <c r="F84" s="125" t="s">
        <v>234</v>
      </c>
      <c r="G84" s="125" t="s">
        <v>234</v>
      </c>
      <c r="H84" s="125" t="s">
        <v>234</v>
      </c>
    </row>
    <row r="85" spans="1:8" ht="16.5">
      <c r="A85" s="124">
        <v>60</v>
      </c>
      <c r="B85" s="124">
        <v>185</v>
      </c>
      <c r="C85" s="124">
        <v>250</v>
      </c>
      <c r="D85" s="124">
        <v>1200</v>
      </c>
      <c r="E85" s="124">
        <v>94.1</v>
      </c>
      <c r="F85" s="124">
        <v>95</v>
      </c>
      <c r="G85" s="124">
        <v>95.8</v>
      </c>
      <c r="H85" s="124">
        <v>96.2</v>
      </c>
    </row>
    <row r="86" spans="1:8" ht="16.5">
      <c r="A86" s="124">
        <v>60</v>
      </c>
      <c r="B86" s="124">
        <v>200</v>
      </c>
      <c r="C86" s="125" t="s">
        <v>234</v>
      </c>
      <c r="D86" s="125" t="s">
        <v>234</v>
      </c>
      <c r="E86" s="125" t="s">
        <v>234</v>
      </c>
      <c r="F86" s="125" t="s">
        <v>234</v>
      </c>
      <c r="G86" s="125" t="s">
        <v>234</v>
      </c>
      <c r="H86" s="125" t="s">
        <v>234</v>
      </c>
    </row>
    <row r="87" spans="1:8" ht="16.5">
      <c r="A87" s="124">
        <v>60</v>
      </c>
      <c r="B87" s="124">
        <v>220</v>
      </c>
      <c r="C87" s="124">
        <v>300</v>
      </c>
      <c r="D87" s="124">
        <v>1200</v>
      </c>
      <c r="E87" s="124">
        <v>94.1</v>
      </c>
      <c r="F87" s="124">
        <v>95</v>
      </c>
      <c r="G87" s="124">
        <v>95.8</v>
      </c>
      <c r="H87" s="124">
        <v>96.5</v>
      </c>
    </row>
    <row r="88" spans="1:8" ht="16.5">
      <c r="A88" s="124">
        <v>60</v>
      </c>
      <c r="B88" s="124">
        <v>250</v>
      </c>
      <c r="C88" s="124">
        <v>350</v>
      </c>
      <c r="D88" s="124">
        <v>1200</v>
      </c>
      <c r="E88" s="124">
        <v>94.1</v>
      </c>
      <c r="F88" s="124">
        <v>95</v>
      </c>
      <c r="G88" s="124">
        <v>95.8</v>
      </c>
      <c r="H88" s="124">
        <v>96.5</v>
      </c>
    </row>
    <row r="89" spans="1:8" ht="16.5">
      <c r="A89" s="124">
        <v>60</v>
      </c>
      <c r="B89" s="124">
        <v>300</v>
      </c>
      <c r="C89" s="124">
        <v>400</v>
      </c>
      <c r="D89" s="124">
        <v>1200</v>
      </c>
      <c r="E89" s="124">
        <v>94.1</v>
      </c>
      <c r="F89" s="124">
        <v>95</v>
      </c>
      <c r="G89" s="124">
        <v>95.8</v>
      </c>
      <c r="H89" s="124">
        <v>96.5</v>
      </c>
    </row>
    <row r="90" spans="1:8" ht="16.5">
      <c r="A90" s="124">
        <v>60</v>
      </c>
      <c r="B90" s="124">
        <v>330</v>
      </c>
      <c r="C90" s="124">
        <v>450</v>
      </c>
      <c r="D90" s="124">
        <v>1200</v>
      </c>
      <c r="E90" s="124">
        <v>94.1</v>
      </c>
      <c r="F90" s="124">
        <v>95</v>
      </c>
      <c r="G90" s="124">
        <v>95.8</v>
      </c>
      <c r="H90" s="124">
        <v>96.5</v>
      </c>
    </row>
    <row r="91" spans="1:8" ht="16.5">
      <c r="A91" s="124">
        <v>60</v>
      </c>
      <c r="B91" s="124">
        <v>375</v>
      </c>
      <c r="C91" s="124">
        <v>500</v>
      </c>
      <c r="D91" s="124">
        <v>1200</v>
      </c>
      <c r="E91" s="124">
        <v>94.1</v>
      </c>
      <c r="F91" s="124">
        <v>95</v>
      </c>
      <c r="G91" s="124">
        <v>95.8</v>
      </c>
      <c r="H91" s="124">
        <v>96.5</v>
      </c>
    </row>
    <row r="92" spans="1:8" ht="16.5">
      <c r="A92" s="126">
        <v>50</v>
      </c>
      <c r="B92" s="126">
        <v>0.75</v>
      </c>
      <c r="C92" s="126">
        <v>1</v>
      </c>
      <c r="D92" s="126">
        <v>3000</v>
      </c>
      <c r="E92" s="126">
        <v>72.099999999999994</v>
      </c>
      <c r="F92" s="126">
        <v>77.400000000000006</v>
      </c>
      <c r="G92" s="126">
        <v>80.7</v>
      </c>
      <c r="H92" s="126">
        <v>83.5</v>
      </c>
    </row>
    <row r="93" spans="1:8" ht="16.5">
      <c r="A93" s="126">
        <v>50</v>
      </c>
      <c r="B93" s="126">
        <v>1.1000000000000001</v>
      </c>
      <c r="C93" s="126">
        <v>1.5</v>
      </c>
      <c r="D93" s="126">
        <v>3000</v>
      </c>
      <c r="E93" s="126">
        <v>75</v>
      </c>
      <c r="F93" s="126">
        <v>79.599999999999994</v>
      </c>
      <c r="G93" s="126">
        <v>82.7</v>
      </c>
      <c r="H93" s="126">
        <v>85.2</v>
      </c>
    </row>
    <row r="94" spans="1:8" ht="16.5">
      <c r="A94" s="126">
        <v>50</v>
      </c>
      <c r="B94" s="126">
        <v>1.5</v>
      </c>
      <c r="C94" s="126">
        <v>2</v>
      </c>
      <c r="D94" s="126">
        <v>3000</v>
      </c>
      <c r="E94" s="126">
        <v>77.2</v>
      </c>
      <c r="F94" s="126">
        <v>81.3</v>
      </c>
      <c r="G94" s="126">
        <v>84.2</v>
      </c>
      <c r="H94" s="126">
        <v>86.5</v>
      </c>
    </row>
    <row r="95" spans="1:8" ht="16.5">
      <c r="A95" s="126">
        <v>50</v>
      </c>
      <c r="B95" s="126">
        <v>2.2000000000000002</v>
      </c>
      <c r="C95" s="126">
        <v>3</v>
      </c>
      <c r="D95" s="126">
        <v>3000</v>
      </c>
      <c r="E95" s="126">
        <v>79.7</v>
      </c>
      <c r="F95" s="126">
        <v>83.2</v>
      </c>
      <c r="G95" s="126">
        <v>85.9</v>
      </c>
      <c r="H95" s="126">
        <v>88</v>
      </c>
    </row>
    <row r="96" spans="1:8" ht="16.5">
      <c r="A96" s="126">
        <v>50</v>
      </c>
      <c r="B96" s="126">
        <v>3</v>
      </c>
      <c r="C96" s="127" t="s">
        <v>234</v>
      </c>
      <c r="D96" s="126">
        <v>3000</v>
      </c>
      <c r="E96" s="126">
        <v>81.5</v>
      </c>
      <c r="F96" s="126">
        <v>84.6</v>
      </c>
      <c r="G96" s="126">
        <v>87.1</v>
      </c>
      <c r="H96" s="126">
        <v>89.1</v>
      </c>
    </row>
    <row r="97" spans="1:8" ht="16.5">
      <c r="A97" s="126">
        <v>50</v>
      </c>
      <c r="B97" s="126">
        <v>3.7</v>
      </c>
      <c r="C97" s="126">
        <v>5</v>
      </c>
      <c r="D97" s="126">
        <v>3000</v>
      </c>
      <c r="E97" s="127" t="s">
        <v>234</v>
      </c>
      <c r="F97" s="127" t="s">
        <v>234</v>
      </c>
      <c r="G97" s="127" t="s">
        <v>234</v>
      </c>
      <c r="H97" s="127" t="s">
        <v>234</v>
      </c>
    </row>
    <row r="98" spans="1:8" ht="16.5">
      <c r="A98" s="126">
        <v>50</v>
      </c>
      <c r="B98" s="126">
        <v>4</v>
      </c>
      <c r="C98" s="127" t="s">
        <v>234</v>
      </c>
      <c r="D98" s="126">
        <v>3000</v>
      </c>
      <c r="E98" s="126">
        <v>83.1</v>
      </c>
      <c r="F98" s="126">
        <v>85.8</v>
      </c>
      <c r="G98" s="126">
        <v>88.1</v>
      </c>
      <c r="H98" s="126">
        <v>90</v>
      </c>
    </row>
    <row r="99" spans="1:8" ht="16.5">
      <c r="A99" s="126">
        <v>50</v>
      </c>
      <c r="B99" s="126">
        <v>5.5</v>
      </c>
      <c r="C99" s="126">
        <v>7.5</v>
      </c>
      <c r="D99" s="126">
        <v>3000</v>
      </c>
      <c r="E99" s="126">
        <v>84.7</v>
      </c>
      <c r="F99" s="126">
        <v>87</v>
      </c>
      <c r="G99" s="126">
        <v>89.2</v>
      </c>
      <c r="H99" s="126">
        <v>90.9</v>
      </c>
    </row>
    <row r="100" spans="1:8" ht="16.5">
      <c r="A100" s="126">
        <v>50</v>
      </c>
      <c r="B100" s="126">
        <v>7.5</v>
      </c>
      <c r="C100" s="126">
        <v>10</v>
      </c>
      <c r="D100" s="126">
        <v>3000</v>
      </c>
      <c r="E100" s="126">
        <v>86</v>
      </c>
      <c r="F100" s="126">
        <v>88.1</v>
      </c>
      <c r="G100" s="126">
        <v>90.1</v>
      </c>
      <c r="H100" s="126">
        <v>91.7</v>
      </c>
    </row>
    <row r="101" spans="1:8" ht="16.5">
      <c r="A101" s="126">
        <v>50</v>
      </c>
      <c r="B101" s="126">
        <v>11</v>
      </c>
      <c r="C101" s="126">
        <v>15</v>
      </c>
      <c r="D101" s="126">
        <v>3000</v>
      </c>
      <c r="E101" s="126">
        <v>87.6</v>
      </c>
      <c r="F101" s="126">
        <v>89.4</v>
      </c>
      <c r="G101" s="126">
        <v>91.2</v>
      </c>
      <c r="H101" s="126">
        <v>92.6</v>
      </c>
    </row>
    <row r="102" spans="1:8" ht="16.5">
      <c r="A102" s="126">
        <v>50</v>
      </c>
      <c r="B102" s="126">
        <v>15</v>
      </c>
      <c r="C102" s="126">
        <v>20</v>
      </c>
      <c r="D102" s="126">
        <v>3000</v>
      </c>
      <c r="E102" s="126">
        <v>88.7</v>
      </c>
      <c r="F102" s="126">
        <v>90.3</v>
      </c>
      <c r="G102" s="126">
        <v>91.9</v>
      </c>
      <c r="H102" s="126">
        <v>93.3</v>
      </c>
    </row>
    <row r="103" spans="1:8" ht="16.5">
      <c r="A103" s="126">
        <v>50</v>
      </c>
      <c r="B103" s="126">
        <v>18.5</v>
      </c>
      <c r="C103" s="126">
        <v>25</v>
      </c>
      <c r="D103" s="126">
        <v>3000</v>
      </c>
      <c r="E103" s="126">
        <v>89.3</v>
      </c>
      <c r="F103" s="126">
        <v>90.9</v>
      </c>
      <c r="G103" s="126">
        <v>92.4</v>
      </c>
      <c r="H103" s="126">
        <v>93.7</v>
      </c>
    </row>
    <row r="104" spans="1:8" ht="16.5">
      <c r="A104" s="126">
        <v>50</v>
      </c>
      <c r="B104" s="126">
        <v>22</v>
      </c>
      <c r="C104" s="126">
        <v>30</v>
      </c>
      <c r="D104" s="126">
        <v>3000</v>
      </c>
      <c r="E104" s="126">
        <v>89.9</v>
      </c>
      <c r="F104" s="126">
        <v>91.3</v>
      </c>
      <c r="G104" s="126">
        <v>92.7</v>
      </c>
      <c r="H104" s="126">
        <v>94</v>
      </c>
    </row>
    <row r="105" spans="1:8" ht="16.5">
      <c r="A105" s="126">
        <v>50</v>
      </c>
      <c r="B105" s="126">
        <v>30</v>
      </c>
      <c r="C105" s="126">
        <v>40</v>
      </c>
      <c r="D105" s="126">
        <v>3000</v>
      </c>
      <c r="E105" s="126">
        <v>90.7</v>
      </c>
      <c r="F105" s="126">
        <v>92</v>
      </c>
      <c r="G105" s="126">
        <v>93.3</v>
      </c>
      <c r="H105" s="126">
        <v>94.5</v>
      </c>
    </row>
    <row r="106" spans="1:8" ht="16.5">
      <c r="A106" s="126">
        <v>50</v>
      </c>
      <c r="B106" s="126">
        <v>37</v>
      </c>
      <c r="C106" s="126">
        <v>50</v>
      </c>
      <c r="D106" s="126">
        <v>3000</v>
      </c>
      <c r="E106" s="126">
        <v>91.2</v>
      </c>
      <c r="F106" s="126">
        <v>92.5</v>
      </c>
      <c r="G106" s="126">
        <v>93.7</v>
      </c>
      <c r="H106" s="126">
        <v>94.8</v>
      </c>
    </row>
    <row r="107" spans="1:8" ht="16.5">
      <c r="A107" s="126">
        <v>50</v>
      </c>
      <c r="B107" s="126">
        <v>45</v>
      </c>
      <c r="C107" s="126">
        <v>60</v>
      </c>
      <c r="D107" s="126">
        <v>3000</v>
      </c>
      <c r="E107" s="126">
        <v>91.7</v>
      </c>
      <c r="F107" s="126">
        <v>92.9</v>
      </c>
      <c r="G107" s="126">
        <v>94</v>
      </c>
      <c r="H107" s="126">
        <v>95</v>
      </c>
    </row>
    <row r="108" spans="1:8" ht="16.5">
      <c r="A108" s="126">
        <v>50</v>
      </c>
      <c r="B108" s="126">
        <v>55</v>
      </c>
      <c r="C108" s="126">
        <v>75</v>
      </c>
      <c r="D108" s="126">
        <v>3000</v>
      </c>
      <c r="E108" s="126">
        <v>92.1</v>
      </c>
      <c r="F108" s="126">
        <v>93.2</v>
      </c>
      <c r="G108" s="126">
        <v>94.3</v>
      </c>
      <c r="H108" s="126">
        <v>95.3</v>
      </c>
    </row>
    <row r="109" spans="1:8" ht="16.5">
      <c r="A109" s="126">
        <v>50</v>
      </c>
      <c r="B109" s="126">
        <v>75</v>
      </c>
      <c r="C109" s="126">
        <v>100</v>
      </c>
      <c r="D109" s="126">
        <v>3000</v>
      </c>
      <c r="E109" s="126">
        <v>92.7</v>
      </c>
      <c r="F109" s="126">
        <v>93.8</v>
      </c>
      <c r="G109" s="126">
        <v>94.7</v>
      </c>
      <c r="H109" s="126">
        <v>95.6</v>
      </c>
    </row>
    <row r="110" spans="1:8" ht="16.5">
      <c r="A110" s="126">
        <v>50</v>
      </c>
      <c r="B110" s="126">
        <v>90</v>
      </c>
      <c r="C110" s="126">
        <v>125</v>
      </c>
      <c r="D110" s="126">
        <v>3000</v>
      </c>
      <c r="E110" s="126">
        <v>93</v>
      </c>
      <c r="F110" s="126">
        <v>94.1</v>
      </c>
      <c r="G110" s="126">
        <v>95</v>
      </c>
      <c r="H110" s="126">
        <v>95.8</v>
      </c>
    </row>
    <row r="111" spans="1:8" ht="16.5">
      <c r="A111" s="126">
        <v>50</v>
      </c>
      <c r="B111" s="126">
        <v>110</v>
      </c>
      <c r="C111" s="126">
        <v>150</v>
      </c>
      <c r="D111" s="126">
        <v>3000</v>
      </c>
      <c r="E111" s="126">
        <v>93.3</v>
      </c>
      <c r="F111" s="126">
        <v>94.3</v>
      </c>
      <c r="G111" s="126">
        <v>95.2</v>
      </c>
      <c r="H111" s="126">
        <v>96</v>
      </c>
    </row>
    <row r="112" spans="1:8" ht="16.5">
      <c r="A112" s="126">
        <v>50</v>
      </c>
      <c r="B112" s="126">
        <v>132</v>
      </c>
      <c r="C112" s="127" t="s">
        <v>234</v>
      </c>
      <c r="D112" s="126">
        <v>3000</v>
      </c>
      <c r="E112" s="126">
        <v>93.5</v>
      </c>
      <c r="F112" s="126">
        <v>94.6</v>
      </c>
      <c r="G112" s="126">
        <v>95.4</v>
      </c>
      <c r="H112" s="126">
        <v>96.2</v>
      </c>
    </row>
    <row r="113" spans="1:8" ht="16.5">
      <c r="A113" s="126">
        <v>50</v>
      </c>
      <c r="B113" s="126">
        <v>150</v>
      </c>
      <c r="C113" s="126">
        <v>200</v>
      </c>
      <c r="D113" s="126">
        <v>3000</v>
      </c>
      <c r="E113" s="127" t="s">
        <v>234</v>
      </c>
      <c r="F113" s="127" t="s">
        <v>234</v>
      </c>
      <c r="G113" s="127" t="s">
        <v>234</v>
      </c>
      <c r="H113" s="127" t="s">
        <v>234</v>
      </c>
    </row>
    <row r="114" spans="1:8" ht="16.5">
      <c r="A114" s="126">
        <v>50</v>
      </c>
      <c r="B114" s="126">
        <v>160</v>
      </c>
      <c r="C114" s="127" t="s">
        <v>234</v>
      </c>
      <c r="D114" s="126">
        <v>3000</v>
      </c>
      <c r="E114" s="126">
        <v>93.8</v>
      </c>
      <c r="F114" s="126">
        <v>94.8</v>
      </c>
      <c r="G114" s="126">
        <v>95.6</v>
      </c>
      <c r="H114" s="126">
        <v>96.3</v>
      </c>
    </row>
    <row r="115" spans="1:8" ht="16.5">
      <c r="A115" s="126">
        <v>50</v>
      </c>
      <c r="B115" s="126">
        <v>185</v>
      </c>
      <c r="C115" s="126">
        <v>250</v>
      </c>
      <c r="D115" s="126">
        <v>3000</v>
      </c>
      <c r="E115" s="127" t="s">
        <v>234</v>
      </c>
      <c r="F115" s="127" t="s">
        <v>234</v>
      </c>
      <c r="G115" s="127" t="s">
        <v>234</v>
      </c>
      <c r="H115" s="127" t="s">
        <v>234</v>
      </c>
    </row>
    <row r="116" spans="1:8" ht="16.5">
      <c r="A116" s="126">
        <v>50</v>
      </c>
      <c r="B116" s="126">
        <v>200</v>
      </c>
      <c r="C116" s="127" t="s">
        <v>234</v>
      </c>
      <c r="D116" s="126">
        <v>3000</v>
      </c>
      <c r="E116" s="126">
        <v>94</v>
      </c>
      <c r="F116" s="126">
        <v>95</v>
      </c>
      <c r="G116" s="126">
        <v>95.8</v>
      </c>
      <c r="H116" s="126">
        <v>96.5</v>
      </c>
    </row>
    <row r="117" spans="1:8" ht="16.5">
      <c r="A117" s="126">
        <v>50</v>
      </c>
      <c r="B117" s="126">
        <v>220</v>
      </c>
      <c r="C117" s="126">
        <v>300</v>
      </c>
      <c r="D117" s="126">
        <v>3000</v>
      </c>
      <c r="E117" s="126">
        <v>94</v>
      </c>
      <c r="F117" s="126">
        <v>95</v>
      </c>
      <c r="G117" s="126">
        <v>95.8</v>
      </c>
      <c r="H117" s="126">
        <v>96.5</v>
      </c>
    </row>
    <row r="118" spans="1:8" ht="16.5">
      <c r="A118" s="126">
        <v>50</v>
      </c>
      <c r="B118" s="126">
        <v>250</v>
      </c>
      <c r="C118" s="126">
        <v>350</v>
      </c>
      <c r="D118" s="126">
        <v>3000</v>
      </c>
      <c r="E118" s="126">
        <v>94</v>
      </c>
      <c r="F118" s="126">
        <v>95</v>
      </c>
      <c r="G118" s="126">
        <v>95.8</v>
      </c>
      <c r="H118" s="126">
        <v>96.5</v>
      </c>
    </row>
    <row r="119" spans="1:8" ht="16.5">
      <c r="A119" s="126">
        <v>50</v>
      </c>
      <c r="B119" s="126">
        <v>300</v>
      </c>
      <c r="C119" s="126">
        <v>400</v>
      </c>
      <c r="D119" s="126">
        <v>3000</v>
      </c>
      <c r="E119" s="126">
        <v>94</v>
      </c>
      <c r="F119" s="126">
        <v>95</v>
      </c>
      <c r="G119" s="126">
        <v>95.8</v>
      </c>
      <c r="H119" s="126">
        <v>96.5</v>
      </c>
    </row>
    <row r="120" spans="1:8" ht="16.5">
      <c r="A120" s="126">
        <v>50</v>
      </c>
      <c r="B120" s="126">
        <v>330</v>
      </c>
      <c r="C120" s="126">
        <v>450</v>
      </c>
      <c r="D120" s="126">
        <v>3000</v>
      </c>
      <c r="E120" s="126">
        <v>94</v>
      </c>
      <c r="F120" s="126">
        <v>95</v>
      </c>
      <c r="G120" s="126">
        <v>95.8</v>
      </c>
      <c r="H120" s="126">
        <v>96.5</v>
      </c>
    </row>
    <row r="121" spans="1:8" ht="16.5">
      <c r="A121" s="126">
        <v>50</v>
      </c>
      <c r="B121" s="126">
        <v>375</v>
      </c>
      <c r="C121" s="126">
        <v>500</v>
      </c>
      <c r="D121" s="126">
        <v>3000</v>
      </c>
      <c r="E121" s="126">
        <v>94</v>
      </c>
      <c r="F121" s="126">
        <v>95</v>
      </c>
      <c r="G121" s="126">
        <v>95.8</v>
      </c>
      <c r="H121" s="126">
        <v>96.5</v>
      </c>
    </row>
    <row r="122" spans="1:8" ht="16.5">
      <c r="A122" s="122">
        <v>50</v>
      </c>
      <c r="B122" s="122">
        <v>0.75</v>
      </c>
      <c r="C122" s="122">
        <v>1</v>
      </c>
      <c r="D122" s="122">
        <v>1500</v>
      </c>
      <c r="E122" s="255">
        <v>72.099999999999994</v>
      </c>
      <c r="F122" s="255">
        <v>79.599999999999994</v>
      </c>
      <c r="G122" s="255">
        <v>82.5</v>
      </c>
      <c r="H122" s="255">
        <v>85.7</v>
      </c>
    </row>
    <row r="123" spans="1:8" ht="16.5">
      <c r="A123" s="122">
        <v>50</v>
      </c>
      <c r="B123" s="122">
        <v>1.1000000000000001</v>
      </c>
      <c r="C123" s="122">
        <v>1.5</v>
      </c>
      <c r="D123" s="122">
        <v>1500</v>
      </c>
      <c r="E123" s="255">
        <v>75</v>
      </c>
      <c r="F123" s="255">
        <v>81.400000000000006</v>
      </c>
      <c r="G123" s="255">
        <v>84.1</v>
      </c>
      <c r="H123" s="255">
        <v>87.2</v>
      </c>
    </row>
    <row r="124" spans="1:8" ht="16.5">
      <c r="A124" s="122">
        <v>50</v>
      </c>
      <c r="B124" s="122">
        <v>1.5</v>
      </c>
      <c r="C124" s="122">
        <v>2</v>
      </c>
      <c r="D124" s="122">
        <v>1500</v>
      </c>
      <c r="E124" s="255">
        <v>77.2</v>
      </c>
      <c r="F124" s="255">
        <v>82.8</v>
      </c>
      <c r="G124" s="255">
        <v>85.3</v>
      </c>
      <c r="H124" s="255">
        <v>88.2</v>
      </c>
    </row>
    <row r="125" spans="1:8" ht="16.5">
      <c r="A125" s="122">
        <v>50</v>
      </c>
      <c r="B125" s="122">
        <v>2.2000000000000002</v>
      </c>
      <c r="C125" s="122">
        <v>3</v>
      </c>
      <c r="D125" s="122">
        <v>1500</v>
      </c>
      <c r="E125" s="255">
        <v>79.7</v>
      </c>
      <c r="F125" s="255">
        <v>84.3</v>
      </c>
      <c r="G125" s="255">
        <v>86.7</v>
      </c>
      <c r="H125" s="255">
        <v>89.5</v>
      </c>
    </row>
    <row r="126" spans="1:8" ht="16.5">
      <c r="A126" s="122">
        <v>50</v>
      </c>
      <c r="B126" s="122">
        <v>3</v>
      </c>
      <c r="C126" s="123" t="s">
        <v>234</v>
      </c>
      <c r="D126" s="122">
        <v>1500</v>
      </c>
      <c r="E126" s="255">
        <v>81.5</v>
      </c>
      <c r="F126" s="255">
        <v>85.5</v>
      </c>
      <c r="G126" s="255">
        <v>87.7</v>
      </c>
      <c r="H126" s="255">
        <v>90.4</v>
      </c>
    </row>
    <row r="127" spans="1:8" ht="16.5">
      <c r="A127" s="122">
        <v>50</v>
      </c>
      <c r="B127" s="122">
        <v>3.7</v>
      </c>
      <c r="C127" s="122">
        <v>5</v>
      </c>
      <c r="D127" s="122">
        <v>1500</v>
      </c>
      <c r="E127" s="123" t="s">
        <v>234</v>
      </c>
      <c r="F127" s="123" t="s">
        <v>234</v>
      </c>
      <c r="G127" s="123" t="s">
        <v>234</v>
      </c>
      <c r="H127" s="123" t="s">
        <v>234</v>
      </c>
    </row>
    <row r="128" spans="1:8" ht="16.5">
      <c r="A128" s="122">
        <v>50</v>
      </c>
      <c r="B128" s="122">
        <v>4</v>
      </c>
      <c r="C128" s="123" t="s">
        <v>234</v>
      </c>
      <c r="D128" s="122">
        <v>1500</v>
      </c>
      <c r="E128" s="255">
        <v>83.1</v>
      </c>
      <c r="F128" s="255">
        <v>86.6</v>
      </c>
      <c r="G128" s="255">
        <v>88.6</v>
      </c>
      <c r="H128" s="255">
        <v>91.1</v>
      </c>
    </row>
    <row r="129" spans="1:8" ht="16.5">
      <c r="A129" s="122">
        <v>50</v>
      </c>
      <c r="B129" s="122">
        <v>5.5</v>
      </c>
      <c r="C129" s="122">
        <v>7.5</v>
      </c>
      <c r="D129" s="122">
        <v>1500</v>
      </c>
      <c r="E129" s="255">
        <v>84.7</v>
      </c>
      <c r="F129" s="255">
        <v>87.7</v>
      </c>
      <c r="G129" s="255">
        <v>89.6</v>
      </c>
      <c r="H129" s="255">
        <v>91.9</v>
      </c>
    </row>
    <row r="130" spans="1:8" ht="16.5">
      <c r="A130" s="122">
        <v>50</v>
      </c>
      <c r="B130" s="122">
        <v>7.5</v>
      </c>
      <c r="C130" s="122">
        <v>10</v>
      </c>
      <c r="D130" s="122">
        <v>1500</v>
      </c>
      <c r="E130" s="255">
        <v>86</v>
      </c>
      <c r="F130" s="255">
        <v>88.7</v>
      </c>
      <c r="G130" s="255">
        <v>90.4</v>
      </c>
      <c r="H130" s="255">
        <v>92.6</v>
      </c>
    </row>
    <row r="131" spans="1:8" ht="16.5">
      <c r="A131" s="122">
        <v>50</v>
      </c>
      <c r="B131" s="122">
        <v>11</v>
      </c>
      <c r="C131" s="122">
        <v>15</v>
      </c>
      <c r="D131" s="122">
        <v>1500</v>
      </c>
      <c r="E131" s="255">
        <v>87.6</v>
      </c>
      <c r="F131" s="255">
        <v>89.8</v>
      </c>
      <c r="G131" s="255">
        <v>91.4</v>
      </c>
      <c r="H131" s="255">
        <v>93.3</v>
      </c>
    </row>
    <row r="132" spans="1:8" ht="16.5">
      <c r="A132" s="122">
        <v>50</v>
      </c>
      <c r="B132" s="122">
        <v>15</v>
      </c>
      <c r="C132" s="122">
        <v>20</v>
      </c>
      <c r="D132" s="122">
        <v>1500</v>
      </c>
      <c r="E132" s="255">
        <v>88.7</v>
      </c>
      <c r="F132" s="255">
        <v>90.6</v>
      </c>
      <c r="G132" s="255">
        <v>92.1</v>
      </c>
      <c r="H132" s="255">
        <v>93.9</v>
      </c>
    </row>
    <row r="133" spans="1:8" ht="16.5">
      <c r="A133" s="122">
        <v>50</v>
      </c>
      <c r="B133" s="122">
        <v>18.5</v>
      </c>
      <c r="C133" s="122">
        <v>25</v>
      </c>
      <c r="D133" s="122">
        <v>1500</v>
      </c>
      <c r="E133" s="255">
        <v>89.3</v>
      </c>
      <c r="F133" s="255">
        <v>91.2</v>
      </c>
      <c r="G133" s="255">
        <v>92.6</v>
      </c>
      <c r="H133" s="255">
        <v>94.2</v>
      </c>
    </row>
    <row r="134" spans="1:8" ht="16.5">
      <c r="A134" s="122">
        <v>50</v>
      </c>
      <c r="B134" s="122">
        <v>22</v>
      </c>
      <c r="C134" s="122">
        <v>30</v>
      </c>
      <c r="D134" s="122">
        <v>1500</v>
      </c>
      <c r="E134" s="255">
        <v>89.9</v>
      </c>
      <c r="F134" s="255">
        <v>91.6</v>
      </c>
      <c r="G134" s="255">
        <v>93</v>
      </c>
      <c r="H134" s="255">
        <v>94.5</v>
      </c>
    </row>
    <row r="135" spans="1:8" ht="16.5">
      <c r="A135" s="122">
        <v>50</v>
      </c>
      <c r="B135" s="122">
        <v>30</v>
      </c>
      <c r="C135" s="122">
        <v>40</v>
      </c>
      <c r="D135" s="122">
        <v>1500</v>
      </c>
      <c r="E135" s="255">
        <v>90.7</v>
      </c>
      <c r="F135" s="255">
        <v>92.3</v>
      </c>
      <c r="G135" s="255">
        <v>93.6</v>
      </c>
      <c r="H135" s="255">
        <v>94.9</v>
      </c>
    </row>
    <row r="136" spans="1:8" ht="16.5">
      <c r="A136" s="122">
        <v>50</v>
      </c>
      <c r="B136" s="122">
        <v>37</v>
      </c>
      <c r="C136" s="122">
        <v>50</v>
      </c>
      <c r="D136" s="122">
        <v>1500</v>
      </c>
      <c r="E136" s="255">
        <v>91.2</v>
      </c>
      <c r="F136" s="255">
        <v>92.7</v>
      </c>
      <c r="G136" s="255">
        <v>93.9</v>
      </c>
      <c r="H136" s="255">
        <v>95.2</v>
      </c>
    </row>
    <row r="137" spans="1:8" ht="16.5">
      <c r="A137" s="122">
        <v>50</v>
      </c>
      <c r="B137" s="122">
        <v>45</v>
      </c>
      <c r="C137" s="122">
        <v>60</v>
      </c>
      <c r="D137" s="122">
        <v>1500</v>
      </c>
      <c r="E137" s="255">
        <v>91.7</v>
      </c>
      <c r="F137" s="255">
        <v>93.1</v>
      </c>
      <c r="G137" s="255">
        <v>94.2</v>
      </c>
      <c r="H137" s="255">
        <v>95.4</v>
      </c>
    </row>
    <row r="138" spans="1:8" ht="16.5">
      <c r="A138" s="122">
        <v>50</v>
      </c>
      <c r="B138" s="122">
        <v>55</v>
      </c>
      <c r="C138" s="122">
        <v>75</v>
      </c>
      <c r="D138" s="122">
        <v>1500</v>
      </c>
      <c r="E138" s="255">
        <v>92.1</v>
      </c>
      <c r="F138" s="255">
        <v>93.5</v>
      </c>
      <c r="G138" s="255">
        <v>94.6</v>
      </c>
      <c r="H138" s="255">
        <v>95.7</v>
      </c>
    </row>
    <row r="139" spans="1:8" ht="16.5">
      <c r="A139" s="122">
        <v>50</v>
      </c>
      <c r="B139" s="122">
        <v>75</v>
      </c>
      <c r="C139" s="122">
        <v>100</v>
      </c>
      <c r="D139" s="122">
        <v>1500</v>
      </c>
      <c r="E139" s="255">
        <v>92.7</v>
      </c>
      <c r="F139" s="255">
        <v>94</v>
      </c>
      <c r="G139" s="255">
        <v>95</v>
      </c>
      <c r="H139" s="255">
        <v>96</v>
      </c>
    </row>
    <row r="140" spans="1:8" ht="16.5">
      <c r="A140" s="122">
        <v>50</v>
      </c>
      <c r="B140" s="122">
        <v>90</v>
      </c>
      <c r="C140" s="122">
        <v>125</v>
      </c>
      <c r="D140" s="122">
        <v>1500</v>
      </c>
      <c r="E140" s="255">
        <v>93</v>
      </c>
      <c r="F140" s="255">
        <v>94.2</v>
      </c>
      <c r="G140" s="255">
        <v>95.2</v>
      </c>
      <c r="H140" s="255">
        <v>96.1</v>
      </c>
    </row>
    <row r="141" spans="1:8" ht="16.5">
      <c r="A141" s="122">
        <v>50</v>
      </c>
      <c r="B141" s="122">
        <v>110</v>
      </c>
      <c r="C141" s="122">
        <v>150</v>
      </c>
      <c r="D141" s="122">
        <v>1500</v>
      </c>
      <c r="E141" s="255">
        <v>93.3</v>
      </c>
      <c r="F141" s="255">
        <v>94.5</v>
      </c>
      <c r="G141" s="255">
        <v>95.4</v>
      </c>
      <c r="H141" s="255">
        <v>96.3</v>
      </c>
    </row>
    <row r="142" spans="1:8" ht="16.5">
      <c r="A142" s="122">
        <v>50</v>
      </c>
      <c r="B142" s="122">
        <v>132</v>
      </c>
      <c r="C142" s="123" t="s">
        <v>234</v>
      </c>
      <c r="D142" s="122">
        <v>1500</v>
      </c>
      <c r="E142" s="255">
        <v>93.5</v>
      </c>
      <c r="F142" s="255">
        <v>94.7</v>
      </c>
      <c r="G142" s="255">
        <v>95.6</v>
      </c>
      <c r="H142" s="255">
        <v>96.4</v>
      </c>
    </row>
    <row r="143" spans="1:8" ht="16.5">
      <c r="A143" s="122">
        <v>50</v>
      </c>
      <c r="B143" s="122">
        <v>150</v>
      </c>
      <c r="C143" s="122">
        <v>200</v>
      </c>
      <c r="D143" s="122">
        <v>1500</v>
      </c>
      <c r="E143" s="123" t="s">
        <v>234</v>
      </c>
      <c r="F143" s="123" t="s">
        <v>234</v>
      </c>
      <c r="G143" s="123" t="s">
        <v>234</v>
      </c>
      <c r="H143" s="123" t="s">
        <v>234</v>
      </c>
    </row>
    <row r="144" spans="1:8" ht="16.5">
      <c r="A144" s="122">
        <v>50</v>
      </c>
      <c r="B144" s="122">
        <v>160</v>
      </c>
      <c r="C144" s="123" t="s">
        <v>234</v>
      </c>
      <c r="D144" s="122">
        <v>1500</v>
      </c>
      <c r="E144" s="255">
        <v>93.8</v>
      </c>
      <c r="F144" s="255">
        <v>94.9</v>
      </c>
      <c r="G144" s="255">
        <v>95.8</v>
      </c>
      <c r="H144" s="255">
        <v>96.6</v>
      </c>
    </row>
    <row r="145" spans="1:8" ht="16.5">
      <c r="A145" s="122">
        <v>50</v>
      </c>
      <c r="B145" s="122">
        <v>185</v>
      </c>
      <c r="C145" s="122">
        <v>250</v>
      </c>
      <c r="D145" s="122">
        <v>1500</v>
      </c>
      <c r="E145" s="123" t="s">
        <v>234</v>
      </c>
      <c r="F145" s="123" t="s">
        <v>234</v>
      </c>
      <c r="G145" s="123" t="s">
        <v>234</v>
      </c>
      <c r="H145" s="123" t="s">
        <v>234</v>
      </c>
    </row>
    <row r="146" spans="1:8" ht="16.5">
      <c r="A146" s="122">
        <v>50</v>
      </c>
      <c r="B146" s="122">
        <v>200</v>
      </c>
      <c r="C146" s="123" t="s">
        <v>234</v>
      </c>
      <c r="D146" s="122">
        <v>1500</v>
      </c>
      <c r="E146" s="255">
        <v>94</v>
      </c>
      <c r="F146" s="255">
        <v>95.1</v>
      </c>
      <c r="G146" s="255">
        <v>96</v>
      </c>
      <c r="H146" s="255">
        <v>96.7</v>
      </c>
    </row>
    <row r="147" spans="1:8" ht="16.5">
      <c r="A147" s="122">
        <v>50</v>
      </c>
      <c r="B147" s="122">
        <v>220</v>
      </c>
      <c r="C147" s="122">
        <v>300</v>
      </c>
      <c r="D147" s="122">
        <v>1500</v>
      </c>
      <c r="E147" s="255">
        <v>94</v>
      </c>
      <c r="F147" s="255">
        <v>95.1</v>
      </c>
      <c r="G147" s="255">
        <v>96</v>
      </c>
      <c r="H147" s="255">
        <v>96.7</v>
      </c>
    </row>
    <row r="148" spans="1:8" ht="16.5">
      <c r="A148" s="122">
        <v>50</v>
      </c>
      <c r="B148" s="122">
        <v>250</v>
      </c>
      <c r="C148" s="122">
        <v>350</v>
      </c>
      <c r="D148" s="122">
        <v>1500</v>
      </c>
      <c r="E148" s="255">
        <v>94</v>
      </c>
      <c r="F148" s="255">
        <v>95.1</v>
      </c>
      <c r="G148" s="255">
        <v>96</v>
      </c>
      <c r="H148" s="255">
        <v>96.7</v>
      </c>
    </row>
    <row r="149" spans="1:8" ht="16.5">
      <c r="A149" s="122">
        <v>50</v>
      </c>
      <c r="B149" s="122">
        <v>300</v>
      </c>
      <c r="C149" s="122">
        <v>400</v>
      </c>
      <c r="D149" s="122">
        <v>1500</v>
      </c>
      <c r="E149" s="255">
        <v>94</v>
      </c>
      <c r="F149" s="255">
        <v>95.1</v>
      </c>
      <c r="G149" s="255">
        <v>96</v>
      </c>
      <c r="H149" s="255">
        <v>96.7</v>
      </c>
    </row>
    <row r="150" spans="1:8" ht="16.5">
      <c r="A150" s="122">
        <v>50</v>
      </c>
      <c r="B150" s="122">
        <v>330</v>
      </c>
      <c r="C150" s="122">
        <v>450</v>
      </c>
      <c r="D150" s="122">
        <v>1500</v>
      </c>
      <c r="E150" s="255">
        <v>94</v>
      </c>
      <c r="F150" s="255">
        <v>95.1</v>
      </c>
      <c r="G150" s="255">
        <v>96</v>
      </c>
      <c r="H150" s="255">
        <v>96.7</v>
      </c>
    </row>
    <row r="151" spans="1:8" ht="16.5">
      <c r="A151" s="122">
        <v>50</v>
      </c>
      <c r="B151" s="122">
        <v>375</v>
      </c>
      <c r="C151" s="122">
        <v>500</v>
      </c>
      <c r="D151" s="122">
        <v>1500</v>
      </c>
      <c r="E151" s="255">
        <v>94</v>
      </c>
      <c r="F151" s="255">
        <v>95.1</v>
      </c>
      <c r="G151" s="255">
        <v>96</v>
      </c>
      <c r="H151" s="255">
        <v>96.7</v>
      </c>
    </row>
    <row r="152" spans="1:8" ht="16.5">
      <c r="A152" s="126">
        <v>50</v>
      </c>
      <c r="B152" s="126">
        <v>0.75</v>
      </c>
      <c r="C152" s="126">
        <v>1</v>
      </c>
      <c r="D152" s="126">
        <v>1000</v>
      </c>
      <c r="E152" s="256">
        <v>70</v>
      </c>
      <c r="F152" s="256">
        <v>75.900000000000006</v>
      </c>
      <c r="G152" s="256">
        <v>78.900000000000006</v>
      </c>
      <c r="H152" s="256">
        <v>82.7</v>
      </c>
    </row>
    <row r="153" spans="1:8" ht="16.5">
      <c r="A153" s="126">
        <v>50</v>
      </c>
      <c r="B153" s="126">
        <v>1.1000000000000001</v>
      </c>
      <c r="C153" s="126">
        <v>1.5</v>
      </c>
      <c r="D153" s="126">
        <v>1000</v>
      </c>
      <c r="E153" s="256">
        <v>72.900000000000006</v>
      </c>
      <c r="F153" s="256">
        <v>78.099999999999994</v>
      </c>
      <c r="G153" s="256">
        <v>81</v>
      </c>
      <c r="H153" s="256">
        <v>84.5</v>
      </c>
    </row>
    <row r="154" spans="1:8" ht="16.5">
      <c r="A154" s="126">
        <v>50</v>
      </c>
      <c r="B154" s="126">
        <v>1.5</v>
      </c>
      <c r="C154" s="126">
        <v>2</v>
      </c>
      <c r="D154" s="126">
        <v>1000</v>
      </c>
      <c r="E154" s="256">
        <v>75.2</v>
      </c>
      <c r="F154" s="256">
        <v>79.8</v>
      </c>
      <c r="G154" s="256">
        <v>82.5</v>
      </c>
      <c r="H154" s="256">
        <v>85.9</v>
      </c>
    </row>
    <row r="155" spans="1:8" ht="16.5">
      <c r="A155" s="126">
        <v>50</v>
      </c>
      <c r="B155" s="126">
        <v>2.2000000000000002</v>
      </c>
      <c r="C155" s="126">
        <v>3</v>
      </c>
      <c r="D155" s="126">
        <v>1000</v>
      </c>
      <c r="E155" s="256">
        <v>77.7</v>
      </c>
      <c r="F155" s="256">
        <v>81.8</v>
      </c>
      <c r="G155" s="256">
        <v>84.3</v>
      </c>
      <c r="H155" s="256">
        <v>87.4</v>
      </c>
    </row>
    <row r="156" spans="1:8" ht="16.5">
      <c r="A156" s="126">
        <v>50</v>
      </c>
      <c r="B156" s="126">
        <v>3</v>
      </c>
      <c r="C156" s="127" t="s">
        <v>234</v>
      </c>
      <c r="D156" s="126">
        <v>1000</v>
      </c>
      <c r="E156" s="256">
        <v>79.7</v>
      </c>
      <c r="F156" s="256">
        <v>83.3</v>
      </c>
      <c r="G156" s="256">
        <v>85.6</v>
      </c>
      <c r="H156" s="256">
        <v>88.6</v>
      </c>
    </row>
    <row r="157" spans="1:8" ht="16.5">
      <c r="A157" s="126">
        <v>50</v>
      </c>
      <c r="B157" s="126">
        <v>3.7</v>
      </c>
      <c r="C157" s="126">
        <v>5</v>
      </c>
      <c r="D157" s="126">
        <v>1000</v>
      </c>
      <c r="E157" s="127" t="s">
        <v>234</v>
      </c>
      <c r="F157" s="127" t="s">
        <v>234</v>
      </c>
      <c r="G157" s="127" t="s">
        <v>234</v>
      </c>
      <c r="H157" s="127" t="s">
        <v>234</v>
      </c>
    </row>
    <row r="158" spans="1:8" ht="16.5">
      <c r="A158" s="126">
        <v>50</v>
      </c>
      <c r="B158" s="126">
        <v>4</v>
      </c>
      <c r="C158" s="127" t="s">
        <v>234</v>
      </c>
      <c r="D158" s="126">
        <v>1000</v>
      </c>
      <c r="E158" s="256">
        <v>81.400000000000006</v>
      </c>
      <c r="F158" s="256">
        <v>84.6</v>
      </c>
      <c r="G158" s="256">
        <v>86.8</v>
      </c>
      <c r="H158" s="256">
        <v>89.5</v>
      </c>
    </row>
    <row r="159" spans="1:8" ht="16.5">
      <c r="A159" s="126">
        <v>50</v>
      </c>
      <c r="B159" s="126">
        <v>5.5</v>
      </c>
      <c r="C159" s="126">
        <v>7.5</v>
      </c>
      <c r="D159" s="126">
        <v>1000</v>
      </c>
      <c r="E159" s="256">
        <v>83.1</v>
      </c>
      <c r="F159" s="256">
        <v>86</v>
      </c>
      <c r="G159" s="256">
        <v>88</v>
      </c>
      <c r="H159" s="256">
        <v>90.5</v>
      </c>
    </row>
    <row r="160" spans="1:8" ht="16.5">
      <c r="A160" s="126">
        <v>50</v>
      </c>
      <c r="B160" s="126">
        <v>7.5</v>
      </c>
      <c r="C160" s="126">
        <v>10</v>
      </c>
      <c r="D160" s="126">
        <v>1000</v>
      </c>
      <c r="E160" s="256">
        <v>84.7</v>
      </c>
      <c r="F160" s="256">
        <v>87.2</v>
      </c>
      <c r="G160" s="256">
        <v>89.1</v>
      </c>
      <c r="H160" s="256">
        <v>91.3</v>
      </c>
    </row>
    <row r="161" spans="1:8" ht="16.5">
      <c r="A161" s="126">
        <v>50</v>
      </c>
      <c r="B161" s="126">
        <v>11</v>
      </c>
      <c r="C161" s="126">
        <v>15</v>
      </c>
      <c r="D161" s="126">
        <v>1000</v>
      </c>
      <c r="E161" s="256">
        <v>86.4</v>
      </c>
      <c r="F161" s="256">
        <v>88.7</v>
      </c>
      <c r="G161" s="256">
        <v>90.3</v>
      </c>
      <c r="H161" s="256">
        <v>92.3</v>
      </c>
    </row>
    <row r="162" spans="1:8" ht="16.5">
      <c r="A162" s="126">
        <v>50</v>
      </c>
      <c r="B162" s="126">
        <v>15</v>
      </c>
      <c r="C162" s="126">
        <v>20</v>
      </c>
      <c r="D162" s="126">
        <v>1000</v>
      </c>
      <c r="E162" s="256">
        <v>87.7</v>
      </c>
      <c r="F162" s="256">
        <v>89.7</v>
      </c>
      <c r="G162" s="256">
        <v>91.2</v>
      </c>
      <c r="H162" s="256">
        <v>92.9</v>
      </c>
    </row>
    <row r="163" spans="1:8" ht="16.5">
      <c r="A163" s="126">
        <v>50</v>
      </c>
      <c r="B163" s="126">
        <v>18.5</v>
      </c>
      <c r="C163" s="126">
        <v>25</v>
      </c>
      <c r="D163" s="126">
        <v>1000</v>
      </c>
      <c r="E163" s="256">
        <v>88.6</v>
      </c>
      <c r="F163" s="256">
        <v>90.4</v>
      </c>
      <c r="G163" s="256">
        <v>91.7</v>
      </c>
      <c r="H163" s="256">
        <v>93.4</v>
      </c>
    </row>
    <row r="164" spans="1:8" ht="16.5">
      <c r="A164" s="126">
        <v>50</v>
      </c>
      <c r="B164" s="126">
        <v>22</v>
      </c>
      <c r="C164" s="126">
        <v>30</v>
      </c>
      <c r="D164" s="126">
        <v>1000</v>
      </c>
      <c r="E164" s="256">
        <v>89.2</v>
      </c>
      <c r="F164" s="256">
        <v>90.9</v>
      </c>
      <c r="G164" s="256">
        <v>92.2</v>
      </c>
      <c r="H164" s="256">
        <v>93.7</v>
      </c>
    </row>
    <row r="165" spans="1:8" ht="16.5">
      <c r="A165" s="126">
        <v>50</v>
      </c>
      <c r="B165" s="126">
        <v>30</v>
      </c>
      <c r="C165" s="126">
        <v>40</v>
      </c>
      <c r="D165" s="126">
        <v>1000</v>
      </c>
      <c r="E165" s="256">
        <v>90.2</v>
      </c>
      <c r="F165" s="256">
        <v>91.7</v>
      </c>
      <c r="G165" s="256">
        <v>92.9</v>
      </c>
      <c r="H165" s="256">
        <v>94.2</v>
      </c>
    </row>
    <row r="166" spans="1:8" ht="16.5">
      <c r="A166" s="126">
        <v>50</v>
      </c>
      <c r="B166" s="126">
        <v>37</v>
      </c>
      <c r="C166" s="126">
        <v>50</v>
      </c>
      <c r="D166" s="126">
        <v>1000</v>
      </c>
      <c r="E166" s="256">
        <v>90.8</v>
      </c>
      <c r="F166" s="256">
        <v>92.2</v>
      </c>
      <c r="G166" s="256">
        <v>93.3</v>
      </c>
      <c r="H166" s="256">
        <v>94.5</v>
      </c>
    </row>
    <row r="167" spans="1:8" ht="16.5">
      <c r="A167" s="126">
        <v>50</v>
      </c>
      <c r="B167" s="126">
        <v>45</v>
      </c>
      <c r="C167" s="126">
        <v>60</v>
      </c>
      <c r="D167" s="126">
        <v>1000</v>
      </c>
      <c r="E167" s="256">
        <v>91.4</v>
      </c>
      <c r="F167" s="256">
        <v>92.7</v>
      </c>
      <c r="G167" s="256">
        <v>93.7</v>
      </c>
      <c r="H167" s="256">
        <v>94.8</v>
      </c>
    </row>
    <row r="168" spans="1:8" ht="16.5">
      <c r="A168" s="126">
        <v>50</v>
      </c>
      <c r="B168" s="126">
        <v>55</v>
      </c>
      <c r="C168" s="126">
        <v>75</v>
      </c>
      <c r="D168" s="126">
        <v>1000</v>
      </c>
      <c r="E168" s="256">
        <v>91.9</v>
      </c>
      <c r="F168" s="256">
        <v>93.1</v>
      </c>
      <c r="G168" s="256">
        <v>94.1</v>
      </c>
      <c r="H168" s="256">
        <v>95.1</v>
      </c>
    </row>
    <row r="169" spans="1:8" ht="16.5">
      <c r="A169" s="126">
        <v>50</v>
      </c>
      <c r="B169" s="126">
        <v>75</v>
      </c>
      <c r="C169" s="126">
        <v>100</v>
      </c>
      <c r="D169" s="126">
        <v>1000</v>
      </c>
      <c r="E169" s="256">
        <v>92.6</v>
      </c>
      <c r="F169" s="256">
        <v>93.7</v>
      </c>
      <c r="G169" s="256">
        <v>94.6</v>
      </c>
      <c r="H169" s="256">
        <v>95.4</v>
      </c>
    </row>
    <row r="170" spans="1:8" ht="16.5">
      <c r="A170" s="126">
        <v>50</v>
      </c>
      <c r="B170" s="126">
        <v>90</v>
      </c>
      <c r="C170" s="126">
        <v>125</v>
      </c>
      <c r="D170" s="126">
        <v>1000</v>
      </c>
      <c r="E170" s="256">
        <v>92.9</v>
      </c>
      <c r="F170" s="256">
        <v>94</v>
      </c>
      <c r="G170" s="256">
        <v>94.9</v>
      </c>
      <c r="H170" s="256">
        <v>95.6</v>
      </c>
    </row>
    <row r="171" spans="1:8" ht="16.5">
      <c r="A171" s="126">
        <v>50</v>
      </c>
      <c r="B171" s="126">
        <v>110</v>
      </c>
      <c r="C171" s="126">
        <v>150</v>
      </c>
      <c r="D171" s="126">
        <v>1000</v>
      </c>
      <c r="E171" s="256">
        <v>93.3</v>
      </c>
      <c r="F171" s="256">
        <v>94.3</v>
      </c>
      <c r="G171" s="256">
        <v>95.1</v>
      </c>
      <c r="H171" s="256">
        <v>95.8</v>
      </c>
    </row>
    <row r="172" spans="1:8" ht="16.5">
      <c r="A172" s="126">
        <v>50</v>
      </c>
      <c r="B172" s="126">
        <v>132</v>
      </c>
      <c r="C172" s="127" t="s">
        <v>234</v>
      </c>
      <c r="D172" s="126">
        <v>1000</v>
      </c>
      <c r="E172" s="256">
        <v>93.5</v>
      </c>
      <c r="F172" s="256">
        <v>94.6</v>
      </c>
      <c r="G172" s="256">
        <v>95.4</v>
      </c>
      <c r="H172" s="256">
        <v>96</v>
      </c>
    </row>
    <row r="173" spans="1:8" ht="16.5">
      <c r="A173" s="126">
        <v>50</v>
      </c>
      <c r="B173" s="126">
        <v>150</v>
      </c>
      <c r="C173" s="126">
        <v>200</v>
      </c>
      <c r="D173" s="126">
        <v>1000</v>
      </c>
      <c r="E173" s="127" t="s">
        <v>234</v>
      </c>
      <c r="F173" s="127" t="s">
        <v>234</v>
      </c>
      <c r="G173" s="127" t="s">
        <v>234</v>
      </c>
      <c r="H173" s="127" t="s">
        <v>234</v>
      </c>
    </row>
    <row r="174" spans="1:8" ht="16.5">
      <c r="A174" s="126">
        <v>50</v>
      </c>
      <c r="B174" s="126">
        <v>160</v>
      </c>
      <c r="C174" s="127" t="s">
        <v>234</v>
      </c>
      <c r="D174" s="126">
        <v>1000</v>
      </c>
      <c r="E174" s="256">
        <v>93.8</v>
      </c>
      <c r="F174" s="256">
        <v>94.8</v>
      </c>
      <c r="G174" s="256">
        <v>95.6</v>
      </c>
      <c r="H174" s="256">
        <v>96.2</v>
      </c>
    </row>
    <row r="175" spans="1:8" ht="16.5">
      <c r="A175" s="126">
        <v>50</v>
      </c>
      <c r="B175" s="126">
        <v>185</v>
      </c>
      <c r="C175" s="126">
        <v>250</v>
      </c>
      <c r="D175" s="126">
        <v>1000</v>
      </c>
      <c r="E175" s="127" t="s">
        <v>234</v>
      </c>
      <c r="F175" s="127" t="s">
        <v>234</v>
      </c>
      <c r="G175" s="127" t="s">
        <v>234</v>
      </c>
      <c r="H175" s="127" t="s">
        <v>234</v>
      </c>
    </row>
    <row r="176" spans="1:8" ht="16.5">
      <c r="A176" s="126">
        <v>50</v>
      </c>
      <c r="B176" s="126">
        <v>200</v>
      </c>
      <c r="C176" s="127" t="s">
        <v>234</v>
      </c>
      <c r="D176" s="126">
        <v>1000</v>
      </c>
      <c r="E176" s="256">
        <v>94</v>
      </c>
      <c r="F176" s="256">
        <v>95</v>
      </c>
      <c r="G176" s="256">
        <v>95.8</v>
      </c>
      <c r="H176" s="256">
        <v>96.3</v>
      </c>
    </row>
    <row r="177" spans="1:8" ht="16.5">
      <c r="A177" s="126">
        <v>50</v>
      </c>
      <c r="B177" s="126">
        <v>220</v>
      </c>
      <c r="C177" s="126">
        <v>300</v>
      </c>
      <c r="D177" s="126">
        <v>1000</v>
      </c>
      <c r="E177" s="256">
        <v>94</v>
      </c>
      <c r="F177" s="256">
        <v>95</v>
      </c>
      <c r="G177" s="256">
        <v>95.8</v>
      </c>
      <c r="H177" s="256">
        <v>96.3</v>
      </c>
    </row>
    <row r="178" spans="1:8" ht="16.5">
      <c r="A178" s="126">
        <v>50</v>
      </c>
      <c r="B178" s="126">
        <v>250</v>
      </c>
      <c r="C178" s="126">
        <v>350</v>
      </c>
      <c r="D178" s="126">
        <v>1000</v>
      </c>
      <c r="E178" s="256">
        <v>94</v>
      </c>
      <c r="F178" s="256">
        <v>95</v>
      </c>
      <c r="G178" s="256">
        <v>95.8</v>
      </c>
      <c r="H178" s="256">
        <v>96.5</v>
      </c>
    </row>
    <row r="179" spans="1:8" ht="16.5">
      <c r="A179" s="126">
        <v>50</v>
      </c>
      <c r="B179" s="126">
        <v>300</v>
      </c>
      <c r="C179" s="126">
        <v>400</v>
      </c>
      <c r="D179" s="126">
        <v>1000</v>
      </c>
      <c r="E179" s="256">
        <v>94</v>
      </c>
      <c r="F179" s="256">
        <v>95</v>
      </c>
      <c r="G179" s="256">
        <v>95.8</v>
      </c>
      <c r="H179" s="256">
        <v>96.6</v>
      </c>
    </row>
    <row r="180" spans="1:8" ht="16.5">
      <c r="A180" s="126">
        <v>50</v>
      </c>
      <c r="B180" s="126">
        <v>330</v>
      </c>
      <c r="C180" s="126">
        <v>450</v>
      </c>
      <c r="D180" s="126">
        <v>1000</v>
      </c>
      <c r="E180" s="256">
        <v>94</v>
      </c>
      <c r="F180" s="256">
        <v>95</v>
      </c>
      <c r="G180" s="256">
        <v>95.8</v>
      </c>
      <c r="H180" s="256">
        <v>96.6</v>
      </c>
    </row>
    <row r="181" spans="1:8" ht="16.5">
      <c r="A181" s="126">
        <v>50</v>
      </c>
      <c r="B181" s="126">
        <v>375</v>
      </c>
      <c r="C181" s="126">
        <v>500</v>
      </c>
      <c r="D181" s="126">
        <v>1000</v>
      </c>
      <c r="E181" s="256">
        <v>94</v>
      </c>
      <c r="F181" s="256">
        <v>95</v>
      </c>
      <c r="G181" s="256">
        <v>95.8</v>
      </c>
      <c r="H181" s="256">
        <v>96.6</v>
      </c>
    </row>
    <row r="182" spans="1:8" ht="16.5">
      <c r="A182" s="128"/>
      <c r="B182" s="128"/>
      <c r="C182" s="128"/>
      <c r="D182" s="128"/>
      <c r="E182" s="128"/>
      <c r="F182" s="128"/>
      <c r="G182" s="128"/>
      <c r="H182" s="128"/>
    </row>
    <row r="183" spans="1:8" ht="16.5">
      <c r="A183" s="128"/>
      <c r="B183" s="128"/>
      <c r="C183" s="128"/>
      <c r="D183" s="128"/>
      <c r="E183" s="128"/>
      <c r="F183" s="128"/>
      <c r="G183" s="128"/>
      <c r="H183" s="128"/>
    </row>
    <row r="184" spans="1:8" ht="16.5">
      <c r="A184" s="128"/>
      <c r="B184" s="128"/>
      <c r="C184" s="128"/>
      <c r="D184" s="128"/>
      <c r="E184" s="128"/>
      <c r="F184" s="128"/>
      <c r="G184" s="128"/>
      <c r="H184" s="128"/>
    </row>
    <row r="185" spans="1:8" ht="16.5">
      <c r="A185" s="128"/>
      <c r="B185" s="128"/>
      <c r="C185" s="128"/>
      <c r="D185" s="128"/>
      <c r="E185" s="128"/>
      <c r="F185" s="128"/>
      <c r="G185" s="128"/>
      <c r="H185" s="128"/>
    </row>
    <row r="186" spans="1:8" ht="16.5">
      <c r="A186" s="128"/>
      <c r="B186" s="128"/>
      <c r="C186" s="128"/>
      <c r="D186" s="128"/>
      <c r="E186" s="128"/>
      <c r="F186" s="128"/>
      <c r="G186" s="128"/>
      <c r="H186" s="128"/>
    </row>
    <row r="187" spans="1:8" ht="16.5">
      <c r="A187" s="128"/>
      <c r="B187" s="128"/>
      <c r="C187" s="128"/>
      <c r="D187" s="128"/>
      <c r="E187" s="128"/>
      <c r="F187" s="128"/>
      <c r="G187" s="128"/>
      <c r="H187" s="128"/>
    </row>
    <row r="188" spans="1:8" ht="16.5">
      <c r="A188" s="128"/>
      <c r="B188" s="128"/>
      <c r="C188" s="128"/>
      <c r="D188" s="128"/>
      <c r="E188" s="128"/>
      <c r="F188" s="128"/>
      <c r="G188" s="128"/>
      <c r="H188" s="128"/>
    </row>
    <row r="189" spans="1:8" ht="16.5">
      <c r="A189" s="128"/>
      <c r="B189" s="128"/>
      <c r="C189" s="128"/>
      <c r="D189" s="128"/>
      <c r="E189" s="128"/>
      <c r="F189" s="128"/>
      <c r="G189" s="128"/>
      <c r="H189" s="128"/>
    </row>
    <row r="190" spans="1:8" ht="16.5">
      <c r="A190" s="128"/>
      <c r="B190" s="128"/>
      <c r="C190" s="128"/>
      <c r="D190" s="128"/>
      <c r="E190" s="128"/>
      <c r="F190" s="128"/>
      <c r="G190" s="128"/>
      <c r="H190" s="128"/>
    </row>
    <row r="191" spans="1:8" ht="16.5">
      <c r="A191" s="128"/>
      <c r="B191" s="128"/>
      <c r="C191" s="128"/>
      <c r="D191" s="128"/>
      <c r="E191" s="128"/>
      <c r="F191" s="128"/>
      <c r="G191" s="128"/>
      <c r="H191" s="128"/>
    </row>
    <row r="192" spans="1:8" ht="16.5">
      <c r="A192" s="128"/>
      <c r="B192" s="128"/>
      <c r="C192" s="128"/>
      <c r="D192" s="128"/>
      <c r="E192" s="128"/>
      <c r="F192" s="128"/>
      <c r="G192" s="128"/>
      <c r="H192" s="128"/>
    </row>
    <row r="193" spans="1:8" ht="16.5">
      <c r="A193" s="128"/>
      <c r="B193" s="128"/>
      <c r="C193" s="128"/>
      <c r="D193" s="128"/>
      <c r="E193" s="128"/>
      <c r="F193" s="128"/>
      <c r="G193" s="128"/>
      <c r="H193" s="128"/>
    </row>
    <row r="194" spans="1:8" ht="16.5">
      <c r="A194" s="128"/>
      <c r="B194" s="128"/>
      <c r="C194" s="128"/>
      <c r="D194" s="128"/>
      <c r="E194" s="128"/>
      <c r="F194" s="128"/>
      <c r="G194" s="128"/>
      <c r="H194" s="128"/>
    </row>
    <row r="195" spans="1:8" ht="16.5">
      <c r="A195" s="128"/>
      <c r="B195" s="128"/>
      <c r="C195" s="128"/>
      <c r="D195" s="128"/>
      <c r="E195" s="128"/>
      <c r="F195" s="128"/>
      <c r="G195" s="128"/>
      <c r="H195" s="128"/>
    </row>
    <row r="196" spans="1:8" ht="16.5">
      <c r="A196" s="128"/>
      <c r="B196" s="128"/>
      <c r="C196" s="128"/>
      <c r="D196" s="128"/>
      <c r="E196" s="128"/>
      <c r="F196" s="128"/>
      <c r="G196" s="128"/>
      <c r="H196" s="128"/>
    </row>
    <row r="197" spans="1:8" ht="16.5">
      <c r="A197" s="128"/>
      <c r="B197" s="128"/>
      <c r="C197" s="128"/>
      <c r="D197" s="128"/>
      <c r="E197" s="128"/>
      <c r="F197" s="128"/>
      <c r="G197" s="128"/>
      <c r="H197" s="128"/>
    </row>
    <row r="198" spans="1:8" ht="16.5">
      <c r="A198" s="128"/>
      <c r="B198" s="128"/>
      <c r="C198" s="128"/>
      <c r="D198" s="128"/>
      <c r="E198" s="128"/>
      <c r="F198" s="128"/>
      <c r="G198" s="128"/>
      <c r="H198" s="128"/>
    </row>
    <row r="199" spans="1:8" ht="16.5">
      <c r="A199" s="128"/>
      <c r="B199" s="128"/>
      <c r="C199" s="128"/>
      <c r="D199" s="128"/>
      <c r="E199" s="128"/>
      <c r="F199" s="128"/>
      <c r="G199" s="128"/>
      <c r="H199" s="128"/>
    </row>
    <row r="200" spans="1:8" ht="16.5">
      <c r="A200" s="128"/>
      <c r="B200" s="128"/>
      <c r="C200" s="128"/>
      <c r="D200" s="128"/>
      <c r="E200" s="128"/>
      <c r="F200" s="128"/>
      <c r="G200" s="128"/>
      <c r="H200" s="128"/>
    </row>
    <row r="201" spans="1:8" ht="16.5">
      <c r="A201" s="128"/>
      <c r="B201" s="128"/>
      <c r="C201" s="128"/>
      <c r="D201" s="128"/>
      <c r="E201" s="128"/>
      <c r="F201" s="128"/>
      <c r="G201" s="128"/>
      <c r="H201" s="128"/>
    </row>
    <row r="202" spans="1:8" ht="16.5">
      <c r="A202" s="128"/>
      <c r="B202" s="128"/>
      <c r="C202" s="128"/>
      <c r="D202" s="128"/>
      <c r="E202" s="128"/>
      <c r="F202" s="128"/>
      <c r="G202" s="128"/>
      <c r="H202" s="128"/>
    </row>
    <row r="203" spans="1:8" ht="16.5">
      <c r="A203" s="128"/>
      <c r="B203" s="128"/>
      <c r="C203" s="128"/>
      <c r="D203" s="128"/>
      <c r="E203" s="128"/>
      <c r="F203" s="128"/>
      <c r="G203" s="128"/>
      <c r="H203" s="128"/>
    </row>
    <row r="204" spans="1:8" ht="16.5">
      <c r="A204" s="128"/>
      <c r="B204" s="128"/>
      <c r="C204" s="128"/>
      <c r="D204" s="128"/>
      <c r="E204" s="128"/>
      <c r="F204" s="128"/>
      <c r="G204" s="128"/>
      <c r="H204" s="128"/>
    </row>
    <row r="205" spans="1:8" ht="16.5">
      <c r="A205" s="128"/>
      <c r="B205" s="128"/>
      <c r="C205" s="128"/>
      <c r="D205" s="128"/>
      <c r="E205" s="128"/>
      <c r="F205" s="128"/>
      <c r="G205" s="128"/>
      <c r="H205" s="128"/>
    </row>
    <row r="206" spans="1:8" ht="16.5">
      <c r="A206" s="128"/>
      <c r="B206" s="128"/>
      <c r="C206" s="128"/>
      <c r="D206" s="128"/>
      <c r="E206" s="128"/>
      <c r="F206" s="128"/>
      <c r="G206" s="128"/>
      <c r="H206" s="128"/>
    </row>
  </sheetData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1"/>
  <sheetViews>
    <sheetView workbookViewId="0">
      <selection activeCell="L14" sqref="L14"/>
    </sheetView>
  </sheetViews>
  <sheetFormatPr defaultColWidth="12.625" defaultRowHeight="15" customHeight="1"/>
  <cols>
    <col min="1" max="1" width="7.625" customWidth="1"/>
    <col min="2" max="2" width="10.75" customWidth="1"/>
    <col min="3" max="3" width="45" customWidth="1"/>
    <col min="4" max="5" width="13.25" bestFit="1" customWidth="1"/>
    <col min="6" max="9" width="12.625" bestFit="1" customWidth="1"/>
    <col min="10" max="11" width="7.625" customWidth="1"/>
  </cols>
  <sheetData>
    <row r="1" spans="2:9" ht="21">
      <c r="B1" s="343" t="s">
        <v>83</v>
      </c>
      <c r="C1" s="344"/>
      <c r="D1" s="344"/>
      <c r="E1" s="344"/>
      <c r="F1" s="344"/>
      <c r="G1" s="344"/>
      <c r="H1" s="344"/>
      <c r="I1" s="345"/>
    </row>
    <row r="2" spans="2:9" ht="19.5">
      <c r="B2" s="21" t="s">
        <v>84</v>
      </c>
      <c r="C2" s="21" t="s">
        <v>85</v>
      </c>
      <c r="D2" s="21" t="s">
        <v>86</v>
      </c>
      <c r="E2" s="21" t="s">
        <v>87</v>
      </c>
      <c r="F2" s="21" t="s">
        <v>88</v>
      </c>
      <c r="G2" s="21" t="s">
        <v>89</v>
      </c>
      <c r="H2" s="21" t="s">
        <v>90</v>
      </c>
      <c r="I2" s="21" t="s">
        <v>91</v>
      </c>
    </row>
    <row r="3" spans="2:9" ht="19.5">
      <c r="B3" s="336" t="s">
        <v>272</v>
      </c>
      <c r="C3" s="22" t="s">
        <v>92</v>
      </c>
      <c r="D3" s="23">
        <f>'1.1-基本資料與量測資料'!C13</f>
        <v>86</v>
      </c>
      <c r="E3" s="24">
        <f>'1.1-基本資料與量測資料'!C12</f>
        <v>120</v>
      </c>
      <c r="F3" s="25" t="s">
        <v>93</v>
      </c>
      <c r="G3" s="25" t="s">
        <v>93</v>
      </c>
      <c r="H3" s="25" t="s">
        <v>93</v>
      </c>
      <c r="I3" s="26" t="s">
        <v>93</v>
      </c>
    </row>
    <row r="4" spans="2:9" ht="19.5">
      <c r="B4" s="337"/>
      <c r="C4" s="27" t="s">
        <v>94</v>
      </c>
      <c r="D4" s="353">
        <f>'1.1-基本資料與量測資料'!C19</f>
        <v>5</v>
      </c>
      <c r="E4" s="354"/>
      <c r="F4" s="340"/>
      <c r="G4" s="346">
        <f>'1.1-基本資料與量測資料'!E19</f>
        <v>5</v>
      </c>
      <c r="H4" s="340"/>
      <c r="I4" s="28" t="s">
        <v>93</v>
      </c>
    </row>
    <row r="5" spans="2:9" ht="19.5">
      <c r="B5" s="337"/>
      <c r="C5" s="27" t="s">
        <v>95</v>
      </c>
      <c r="D5" s="355">
        <f>'1.1-基本資料與量測資料'!C16</f>
        <v>89.61</v>
      </c>
      <c r="E5" s="340"/>
      <c r="F5" s="29">
        <f>'1.1-基本資料與量測資料'!C31</f>
        <v>7.1929999999999996</v>
      </c>
      <c r="G5" s="29">
        <v>11.042999999999999</v>
      </c>
      <c r="H5" s="29">
        <v>3.76</v>
      </c>
      <c r="I5" s="30">
        <f>SUM(D5:H5)</f>
        <v>111.60600000000001</v>
      </c>
    </row>
    <row r="6" spans="2:9" ht="19.5">
      <c r="B6" s="337"/>
      <c r="C6" s="27" t="s">
        <v>96</v>
      </c>
      <c r="D6" s="31" t="s">
        <v>93</v>
      </c>
      <c r="E6" s="350">
        <f>'1.1-基本資料與量測資料'!E35</f>
        <v>1044.7506655123816</v>
      </c>
      <c r="F6" s="340"/>
      <c r="G6" s="350">
        <f>'1.1-基本資料與量測資料'!E62</f>
        <v>1629.940160975319</v>
      </c>
      <c r="H6" s="340"/>
      <c r="I6" s="28" t="s">
        <v>93</v>
      </c>
    </row>
    <row r="7" spans="2:9" ht="19.5">
      <c r="B7" s="337"/>
      <c r="C7" s="27" t="s">
        <v>97</v>
      </c>
      <c r="D7" s="31" t="s">
        <v>93</v>
      </c>
      <c r="E7" s="350">
        <f>'1.1-基本資料與量測資料'!C35</f>
        <v>22.85</v>
      </c>
      <c r="F7" s="340"/>
      <c r="G7" s="350">
        <f>'1.1-基本資料與量測資料'!C62</f>
        <v>14.55</v>
      </c>
      <c r="H7" s="340"/>
      <c r="I7" s="28" t="s">
        <v>93</v>
      </c>
    </row>
    <row r="8" spans="2:9" ht="19.5">
      <c r="B8" s="338"/>
      <c r="C8" s="32" t="s">
        <v>98</v>
      </c>
      <c r="D8" s="33" t="s">
        <v>93</v>
      </c>
      <c r="E8" s="351">
        <f>'1.1-基本資料與量測資料'!C20</f>
        <v>5.8500000000000014</v>
      </c>
      <c r="F8" s="352"/>
      <c r="G8" s="351">
        <f>'1.1-基本資料與量測資料'!E20</f>
        <v>4.6000000000000014</v>
      </c>
      <c r="H8" s="352"/>
      <c r="I8" s="34" t="s">
        <v>93</v>
      </c>
    </row>
    <row r="9" spans="2:9" ht="19.5">
      <c r="B9" s="336" t="s">
        <v>273</v>
      </c>
      <c r="C9" s="22" t="s">
        <v>99</v>
      </c>
      <c r="D9" s="35" t="s">
        <v>223</v>
      </c>
      <c r="E9" s="347">
        <f>(E6/60)*4.186*E8</f>
        <v>426.39931286889589</v>
      </c>
      <c r="F9" s="348"/>
      <c r="G9" s="189">
        <f>G6/60*4.186*G8</f>
        <v>523.09126272793935</v>
      </c>
      <c r="H9" s="189">
        <f>G9+H5</f>
        <v>526.85126272793934</v>
      </c>
      <c r="I9" s="26" t="s">
        <v>93</v>
      </c>
    </row>
    <row r="10" spans="2:9" ht="19.5">
      <c r="B10" s="337"/>
      <c r="C10" s="27" t="s">
        <v>100</v>
      </c>
      <c r="D10" s="31" t="s">
        <v>93</v>
      </c>
      <c r="E10" s="341">
        <f>E9/3.516</f>
        <v>121.27397976931054</v>
      </c>
      <c r="F10" s="340"/>
      <c r="G10" s="55">
        <f t="shared" ref="G10:H10" si="0">G9/3.516</f>
        <v>148.77453433672906</v>
      </c>
      <c r="H10" s="55">
        <f t="shared" si="0"/>
        <v>149.84393137882233</v>
      </c>
      <c r="I10" s="28" t="s">
        <v>93</v>
      </c>
    </row>
    <row r="11" spans="2:9" ht="19.5">
      <c r="B11" s="337"/>
      <c r="C11" s="27" t="s">
        <v>101</v>
      </c>
      <c r="D11" s="31" t="s">
        <v>93</v>
      </c>
      <c r="E11" s="31" t="s">
        <v>93</v>
      </c>
      <c r="F11" s="113">
        <f>9.81*E6*E7/60000</f>
        <v>3.9031623675876199</v>
      </c>
      <c r="G11" s="349">
        <f>9.81*G6*G7/60000</f>
        <v>3.877505397448211</v>
      </c>
      <c r="H11" s="340"/>
      <c r="I11" s="28" t="s">
        <v>93</v>
      </c>
    </row>
    <row r="12" spans="2:9" ht="19.5">
      <c r="B12" s="338"/>
      <c r="C12" s="32" t="s">
        <v>102</v>
      </c>
      <c r="D12" s="36" t="s">
        <v>93</v>
      </c>
      <c r="E12" s="37">
        <f>D5/E10</f>
        <v>0.73890541211278538</v>
      </c>
      <c r="F12" s="37">
        <f>F5/E10</f>
        <v>5.9311981132990341E-2</v>
      </c>
      <c r="G12" s="37">
        <f>G5/E10</f>
        <v>9.105827994600478E-2</v>
      </c>
      <c r="H12" s="37">
        <f>H5/E10</f>
        <v>3.1004177542060848E-2</v>
      </c>
      <c r="I12" s="38">
        <f>SUMIF(E12:G12,"&gt;0")</f>
        <v>0.88927567319178047</v>
      </c>
    </row>
    <row r="13" spans="2:9" ht="19.5">
      <c r="B13" s="336" t="s">
        <v>103</v>
      </c>
      <c r="C13" s="39" t="s">
        <v>104</v>
      </c>
      <c r="D13" s="40" t="s">
        <v>93</v>
      </c>
      <c r="E13" s="25" t="s">
        <v>93</v>
      </c>
      <c r="F13" s="41">
        <f>E9/F5</f>
        <v>59.279759887237027</v>
      </c>
      <c r="G13" s="41">
        <f t="shared" ref="G13:H13" si="1">G9/G5</f>
        <v>47.368583059670321</v>
      </c>
      <c r="H13" s="41">
        <f t="shared" si="1"/>
        <v>140.12001668296259</v>
      </c>
      <c r="I13" s="26" t="s">
        <v>93</v>
      </c>
    </row>
    <row r="14" spans="2:9" ht="20.25" thickBot="1">
      <c r="B14" s="342"/>
      <c r="C14" s="169" t="s">
        <v>269</v>
      </c>
      <c r="D14" s="161" t="s">
        <v>93</v>
      </c>
      <c r="E14" s="161" t="s">
        <v>93</v>
      </c>
      <c r="F14" s="147">
        <f>E9/F11</f>
        <v>109.24457470941321</v>
      </c>
      <c r="G14" s="147">
        <f>G9/G11</f>
        <v>134.90407081630011</v>
      </c>
      <c r="H14" s="161" t="s">
        <v>93</v>
      </c>
      <c r="I14" s="162" t="s">
        <v>93</v>
      </c>
    </row>
    <row r="15" spans="2:9" ht="20.25" thickBot="1">
      <c r="B15" s="337"/>
      <c r="C15" s="42" t="s">
        <v>105</v>
      </c>
      <c r="D15" s="43">
        <f>D5/D3</f>
        <v>1.0419767441860466</v>
      </c>
      <c r="E15" s="44">
        <f>E10/E3</f>
        <v>1.0106164980775878</v>
      </c>
      <c r="F15" s="45" t="s">
        <v>93</v>
      </c>
      <c r="G15" s="45" t="s">
        <v>93</v>
      </c>
      <c r="H15" s="45" t="s">
        <v>93</v>
      </c>
      <c r="I15" s="34" t="s">
        <v>93</v>
      </c>
    </row>
    <row r="16" spans="2:9" ht="39">
      <c r="B16" s="338"/>
      <c r="C16" s="46" t="s">
        <v>216</v>
      </c>
      <c r="D16" s="47" t="s">
        <v>93</v>
      </c>
      <c r="E16" s="48" t="s">
        <v>93</v>
      </c>
      <c r="F16" s="190">
        <f t="shared" ref="F16:G16" si="2">F5/F11</f>
        <v>1.842864662698029</v>
      </c>
      <c r="G16" s="190">
        <f t="shared" si="2"/>
        <v>2.8479650878803175</v>
      </c>
      <c r="H16" s="49">
        <f>H5/G6</f>
        <v>2.3068331525435276E-3</v>
      </c>
      <c r="I16" s="50" t="s">
        <v>93</v>
      </c>
    </row>
    <row r="17" spans="2:9" ht="19.5">
      <c r="B17" s="336" t="s">
        <v>106</v>
      </c>
      <c r="C17" s="46" t="s">
        <v>107</v>
      </c>
      <c r="D17" s="51" t="s">
        <v>93</v>
      </c>
      <c r="E17" s="52" t="s">
        <v>93</v>
      </c>
      <c r="F17" s="191">
        <f>E9/F11</f>
        <v>109.24457470941321</v>
      </c>
      <c r="G17" s="191">
        <f>G9/G11</f>
        <v>134.90407081630011</v>
      </c>
      <c r="H17" s="52" t="s">
        <v>93</v>
      </c>
      <c r="I17" s="53" t="s">
        <v>93</v>
      </c>
    </row>
    <row r="18" spans="2:9" ht="22.5">
      <c r="B18" s="337"/>
      <c r="C18" s="27" t="s">
        <v>108</v>
      </c>
      <c r="D18" s="31" t="s">
        <v>93</v>
      </c>
      <c r="E18" s="341">
        <f>'1.1-基本資料與量測資料'!E28</f>
        <v>0</v>
      </c>
      <c r="F18" s="340"/>
      <c r="G18" s="341">
        <f>'1.1-基本資料與量測資料'!C66</f>
        <v>2.6</v>
      </c>
      <c r="H18" s="340"/>
      <c r="I18" s="28" t="s">
        <v>93</v>
      </c>
    </row>
    <row r="19" spans="2:9" ht="22.5">
      <c r="B19" s="337"/>
      <c r="C19" s="27" t="s">
        <v>109</v>
      </c>
      <c r="D19" s="31" t="s">
        <v>93</v>
      </c>
      <c r="E19" s="339">
        <f>(E7-E18)/E6^2</f>
        <v>2.0934417997610273E-5</v>
      </c>
      <c r="F19" s="340"/>
      <c r="G19" s="339">
        <f>(G7-G18)/G6^2</f>
        <v>4.4980531606781368E-6</v>
      </c>
      <c r="H19" s="340"/>
      <c r="I19" s="28" t="s">
        <v>93</v>
      </c>
    </row>
    <row r="20" spans="2:9" ht="19.5">
      <c r="B20" s="337"/>
      <c r="C20" s="27" t="s">
        <v>110</v>
      </c>
      <c r="D20" s="31" t="s">
        <v>93</v>
      </c>
      <c r="E20" s="54" t="s">
        <v>93</v>
      </c>
      <c r="F20" s="55" t="s">
        <v>111</v>
      </c>
      <c r="G20" s="54" t="s">
        <v>93</v>
      </c>
      <c r="H20" s="54" t="s">
        <v>93</v>
      </c>
      <c r="I20" s="28" t="s">
        <v>93</v>
      </c>
    </row>
    <row r="21" spans="2:9" ht="19.5">
      <c r="B21" s="338"/>
      <c r="C21" s="32" t="s">
        <v>112</v>
      </c>
      <c r="D21" s="33" t="s">
        <v>93</v>
      </c>
      <c r="E21" s="45" t="s">
        <v>93</v>
      </c>
      <c r="F21" s="45" t="s">
        <v>93</v>
      </c>
      <c r="G21" s="56" t="s">
        <v>113</v>
      </c>
      <c r="H21" s="45" t="s">
        <v>93</v>
      </c>
      <c r="I21" s="34" t="s">
        <v>93</v>
      </c>
    </row>
    <row r="22" spans="2:9" ht="16.5" customHeight="1"/>
    <row r="23" spans="2:9" ht="16.5" customHeight="1"/>
    <row r="24" spans="2:9" ht="16.5" customHeight="1"/>
    <row r="25" spans="2:9" ht="16.5" customHeight="1"/>
    <row r="26" spans="2:9" ht="16.5" customHeight="1"/>
    <row r="27" spans="2:9" ht="16.5" customHeight="1"/>
    <row r="28" spans="2:9" ht="16.5" customHeight="1"/>
    <row r="29" spans="2:9" ht="16.5" customHeight="1"/>
    <row r="30" spans="2:9" ht="16.5" customHeight="1"/>
    <row r="31" spans="2:9" ht="16.5" customHeight="1"/>
    <row r="32" spans="2: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</sheetData>
  <mergeCells count="21">
    <mergeCell ref="B13:B16"/>
    <mergeCell ref="B1:I1"/>
    <mergeCell ref="G4:H4"/>
    <mergeCell ref="E9:F9"/>
    <mergeCell ref="G11:H11"/>
    <mergeCell ref="G6:H6"/>
    <mergeCell ref="G7:H7"/>
    <mergeCell ref="E8:F8"/>
    <mergeCell ref="G8:H8"/>
    <mergeCell ref="B3:B8"/>
    <mergeCell ref="B9:B12"/>
    <mergeCell ref="E7:F7"/>
    <mergeCell ref="D4:F4"/>
    <mergeCell ref="D5:E5"/>
    <mergeCell ref="E6:F6"/>
    <mergeCell ref="E10:F10"/>
    <mergeCell ref="B17:B21"/>
    <mergeCell ref="E19:F19"/>
    <mergeCell ref="G19:H19"/>
    <mergeCell ref="E18:F18"/>
    <mergeCell ref="G18:H18"/>
  </mergeCells>
  <phoneticPr fontId="21" type="noConversion"/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selection activeCell="J18" sqref="J18"/>
    </sheetView>
  </sheetViews>
  <sheetFormatPr defaultColWidth="12.625" defaultRowHeight="15" customHeight="1"/>
  <cols>
    <col min="1" max="1" width="9.5" customWidth="1"/>
    <col min="2" max="2" width="31.625" customWidth="1"/>
    <col min="3" max="8" width="12.5" bestFit="1" customWidth="1"/>
    <col min="9" max="11" width="7.625" customWidth="1"/>
  </cols>
  <sheetData>
    <row r="1" spans="1:8" ht="19.5">
      <c r="A1" s="361" t="s">
        <v>83</v>
      </c>
      <c r="B1" s="344"/>
      <c r="C1" s="344"/>
      <c r="D1" s="344"/>
      <c r="E1" s="344"/>
      <c r="F1" s="344"/>
      <c r="G1" s="344"/>
      <c r="H1" s="345"/>
    </row>
    <row r="2" spans="1:8" ht="19.5">
      <c r="A2" s="57" t="s">
        <v>84</v>
      </c>
      <c r="B2" s="57" t="s">
        <v>85</v>
      </c>
      <c r="C2" s="58" t="s">
        <v>86</v>
      </c>
      <c r="D2" s="59" t="s">
        <v>87</v>
      </c>
      <c r="E2" s="59" t="s">
        <v>88</v>
      </c>
      <c r="F2" s="59" t="s">
        <v>89</v>
      </c>
      <c r="G2" s="59" t="s">
        <v>90</v>
      </c>
      <c r="H2" s="60" t="s">
        <v>91</v>
      </c>
    </row>
    <row r="3" spans="1:8" ht="19.5">
      <c r="A3" s="364" t="s">
        <v>114</v>
      </c>
      <c r="B3" s="61" t="s">
        <v>92</v>
      </c>
      <c r="C3" s="62">
        <f>'1.1-基本資料與量測資料'!C13</f>
        <v>86</v>
      </c>
      <c r="D3" s="24">
        <f>'1.1-基本資料與量測資料'!C12</f>
        <v>120</v>
      </c>
      <c r="E3" s="25" t="s">
        <v>93</v>
      </c>
      <c r="F3" s="25" t="s">
        <v>93</v>
      </c>
      <c r="G3" s="25" t="s">
        <v>93</v>
      </c>
      <c r="H3" s="26" t="s">
        <v>93</v>
      </c>
    </row>
    <row r="4" spans="1:8" ht="19.5">
      <c r="A4" s="337"/>
      <c r="B4" s="63" t="s">
        <v>115</v>
      </c>
      <c r="C4" s="192">
        <f>'1.2-系統量測數據計算'!D15</f>
        <v>1.0419767441860466</v>
      </c>
      <c r="D4" s="108">
        <f>'1.2-系統量測數據計算'!E15</f>
        <v>1.0106164980775878</v>
      </c>
      <c r="E4" s="54" t="s">
        <v>93</v>
      </c>
      <c r="F4" s="54" t="s">
        <v>93</v>
      </c>
      <c r="G4" s="54" t="s">
        <v>93</v>
      </c>
      <c r="H4" s="28" t="s">
        <v>93</v>
      </c>
    </row>
    <row r="5" spans="1:8" ht="19.5">
      <c r="A5" s="337"/>
      <c r="B5" s="63" t="s">
        <v>94</v>
      </c>
      <c r="C5" s="64" t="s">
        <v>93</v>
      </c>
      <c r="D5" s="362">
        <f>'1.1-基本資料與量測資料'!C19</f>
        <v>5</v>
      </c>
      <c r="E5" s="340"/>
      <c r="F5" s="362">
        <f>'1.1-基本資料與量測資料'!E19</f>
        <v>5</v>
      </c>
      <c r="G5" s="340"/>
      <c r="H5" s="28" t="s">
        <v>93</v>
      </c>
    </row>
    <row r="6" spans="1:8" ht="22.5">
      <c r="A6" s="337"/>
      <c r="B6" s="63" t="s">
        <v>218</v>
      </c>
      <c r="C6" s="64" t="s">
        <v>93</v>
      </c>
      <c r="D6" s="341">
        <f>'1.1-基本資料與量測資料'!E28</f>
        <v>0</v>
      </c>
      <c r="E6" s="340"/>
      <c r="F6" s="341">
        <f>'1.1-基本資料與量測資料'!C66</f>
        <v>2.6</v>
      </c>
      <c r="G6" s="340"/>
      <c r="H6" s="28" t="s">
        <v>93</v>
      </c>
    </row>
    <row r="7" spans="1:8" ht="22.5">
      <c r="A7" s="337"/>
      <c r="B7" s="63" t="s">
        <v>116</v>
      </c>
      <c r="C7" s="64" t="s">
        <v>93</v>
      </c>
      <c r="D7" s="339">
        <f>'1.2-系統量測數據計算'!E19</f>
        <v>2.0934417997610273E-5</v>
      </c>
      <c r="E7" s="340"/>
      <c r="F7" s="339">
        <f>'1.2-系統量測數據計算'!G19</f>
        <v>4.4980531606781368E-6</v>
      </c>
      <c r="G7" s="340"/>
      <c r="H7" s="28" t="s">
        <v>93</v>
      </c>
    </row>
    <row r="8" spans="1:8" ht="19.5">
      <c r="A8" s="337"/>
      <c r="B8" s="63" t="s">
        <v>117</v>
      </c>
      <c r="C8" s="64" t="s">
        <v>93</v>
      </c>
      <c r="D8" s="54" t="s">
        <v>93</v>
      </c>
      <c r="E8" s="113">
        <f>'1.2-系統量測數據計算'!F16</f>
        <v>1.842864662698029</v>
      </c>
      <c r="F8" s="113">
        <f>'1.2-系統量測數據計算'!G16</f>
        <v>2.8479650878803175</v>
      </c>
      <c r="G8" s="193">
        <f>'1.2-系統量測數據計算'!H16</f>
        <v>2.3068331525435276E-3</v>
      </c>
      <c r="H8" s="28" t="s">
        <v>93</v>
      </c>
    </row>
    <row r="9" spans="1:8" ht="19.5">
      <c r="A9" s="337"/>
      <c r="B9" s="63" t="s">
        <v>99</v>
      </c>
      <c r="C9" s="64" t="s">
        <v>93</v>
      </c>
      <c r="D9" s="363">
        <f>'1.2-系統量測數據計算'!E9</f>
        <v>426.39931286889589</v>
      </c>
      <c r="E9" s="340"/>
      <c r="F9" s="363">
        <f>'1.2-系統量測數據計算'!G9</f>
        <v>523.09126272793935</v>
      </c>
      <c r="G9" s="340"/>
      <c r="H9" s="28" t="s">
        <v>93</v>
      </c>
    </row>
    <row r="10" spans="1:8" ht="19.5">
      <c r="A10" s="337"/>
      <c r="B10" s="63" t="s">
        <v>100</v>
      </c>
      <c r="C10" s="64" t="s">
        <v>93</v>
      </c>
      <c r="D10" s="363">
        <f>'1.2-系統量測數據計算'!E10</f>
        <v>121.27397976931054</v>
      </c>
      <c r="E10" s="340"/>
      <c r="F10" s="363">
        <f>'1.2-系統量測數據計算'!G10</f>
        <v>148.77453433672906</v>
      </c>
      <c r="G10" s="340"/>
      <c r="H10" s="28" t="s">
        <v>93</v>
      </c>
    </row>
    <row r="11" spans="1:8" ht="19.5">
      <c r="A11" s="337"/>
      <c r="B11" s="63" t="s">
        <v>118</v>
      </c>
      <c r="C11" s="64" t="s">
        <v>93</v>
      </c>
      <c r="D11" s="358">
        <f>'1.1-基本資料與量測資料'!C20</f>
        <v>5.8500000000000014</v>
      </c>
      <c r="E11" s="340"/>
      <c r="F11" s="350">
        <f>'1.1-基本資料與量測資料'!E20</f>
        <v>4.6000000000000014</v>
      </c>
      <c r="G11" s="340"/>
      <c r="H11" s="28" t="s">
        <v>93</v>
      </c>
    </row>
    <row r="12" spans="1:8" ht="19.5">
      <c r="A12" s="338"/>
      <c r="B12" s="65" t="s">
        <v>119</v>
      </c>
      <c r="C12" s="66" t="s">
        <v>93</v>
      </c>
      <c r="D12" s="351">
        <f>'1.1-基本資料與量測資料'!E35</f>
        <v>1044.7506655123816</v>
      </c>
      <c r="E12" s="352"/>
      <c r="F12" s="351">
        <f>'1.1-基本資料與量測資料'!E62</f>
        <v>1629.940160975319</v>
      </c>
      <c r="G12" s="352"/>
      <c r="H12" s="34" t="s">
        <v>93</v>
      </c>
    </row>
    <row r="13" spans="1:8" ht="19.5">
      <c r="A13" s="364" t="s">
        <v>120</v>
      </c>
      <c r="B13" s="61" t="s">
        <v>121</v>
      </c>
      <c r="C13" s="40" t="s">
        <v>93</v>
      </c>
      <c r="D13" s="356">
        <f>D12*D11/D5</f>
        <v>1222.3582786494867</v>
      </c>
      <c r="E13" s="348"/>
      <c r="F13" s="356">
        <f>F12*F11/F5</f>
        <v>1499.5449480972941</v>
      </c>
      <c r="G13" s="348"/>
      <c r="H13" s="26" t="s">
        <v>93</v>
      </c>
    </row>
    <row r="14" spans="1:8" ht="22.5">
      <c r="A14" s="337"/>
      <c r="B14" s="63" t="s">
        <v>122</v>
      </c>
      <c r="C14" s="64" t="s">
        <v>93</v>
      </c>
      <c r="D14" s="357">
        <f>D6+D7*D13^2</f>
        <v>31.279365000000013</v>
      </c>
      <c r="E14" s="340"/>
      <c r="F14" s="55">
        <f>F6+F7*F12^2</f>
        <v>14.55</v>
      </c>
      <c r="G14" s="54" t="s">
        <v>93</v>
      </c>
      <c r="H14" s="28" t="s">
        <v>93</v>
      </c>
    </row>
    <row r="15" spans="1:8" ht="19.5">
      <c r="A15" s="337"/>
      <c r="B15" s="63" t="s">
        <v>123</v>
      </c>
      <c r="C15" s="64" t="s">
        <v>93</v>
      </c>
      <c r="D15" s="54" t="s">
        <v>93</v>
      </c>
      <c r="E15" s="113">
        <f>1000*9.81*D14*D13/60/1000/1000</f>
        <v>6.2513555890391146</v>
      </c>
      <c r="F15" s="113">
        <f>1000*9.81*F14*F13/60/1000/1000</f>
        <v>3.5673049656523554</v>
      </c>
      <c r="G15" s="113"/>
      <c r="H15" s="28" t="s">
        <v>93</v>
      </c>
    </row>
    <row r="16" spans="1:8" ht="19.5">
      <c r="A16" s="337"/>
      <c r="B16" s="63" t="s">
        <v>124</v>
      </c>
      <c r="C16" s="194">
        <f>'1.2-系統量測數據計算'!D5</f>
        <v>89.61</v>
      </c>
      <c r="D16" s="54" t="s">
        <v>93</v>
      </c>
      <c r="E16" s="55">
        <f t="shared" ref="E16:F16" si="0">E8*E15</f>
        <v>11.520402309000007</v>
      </c>
      <c r="F16" s="55">
        <f t="shared" si="0"/>
        <v>10.159560000000004</v>
      </c>
      <c r="G16" s="55">
        <f>G8*F13</f>
        <v>3.4592000000000014</v>
      </c>
      <c r="H16" s="67">
        <f>SUMIF(C16:G16,"&gt;0")</f>
        <v>114.749162309</v>
      </c>
    </row>
    <row r="17" spans="1:8" ht="20.25" thickBot="1">
      <c r="A17" s="337"/>
      <c r="B17" s="65" t="s">
        <v>102</v>
      </c>
      <c r="C17" s="66" t="s">
        <v>93</v>
      </c>
      <c r="D17" s="68">
        <f>C16/D10</f>
        <v>0.73890541211278538</v>
      </c>
      <c r="E17" s="68">
        <f>E16/D10</f>
        <v>9.4994840038352124E-2</v>
      </c>
      <c r="F17" s="68">
        <f>F16/D10</f>
        <v>8.3773617550324433E-2</v>
      </c>
      <c r="G17" s="68">
        <f>G16/D10</f>
        <v>2.8523843338695995E-2</v>
      </c>
      <c r="H17" s="69">
        <f>SUMIF(D17:G17,"&gt;0")</f>
        <v>0.94619771304015787</v>
      </c>
    </row>
    <row r="18" spans="1:8" ht="20.25" thickBot="1">
      <c r="A18" s="359" t="s">
        <v>103</v>
      </c>
      <c r="B18" s="168" t="s">
        <v>104</v>
      </c>
      <c r="C18" s="70" t="s">
        <v>93</v>
      </c>
      <c r="D18" s="52" t="s">
        <v>93</v>
      </c>
      <c r="E18" s="71">
        <f>D9/E16</f>
        <v>37.012536665996706</v>
      </c>
      <c r="F18" s="71">
        <f>F9/F16</f>
        <v>51.487590282250324</v>
      </c>
      <c r="G18" s="71">
        <f>F9/G16</f>
        <v>151.21740943800276</v>
      </c>
      <c r="H18" s="53" t="s">
        <v>93</v>
      </c>
    </row>
    <row r="19" spans="1:8" ht="23.65" customHeight="1" thickBot="1">
      <c r="A19" s="360"/>
      <c r="B19" s="169" t="s">
        <v>269</v>
      </c>
      <c r="C19" s="161" t="s">
        <v>93</v>
      </c>
      <c r="D19" s="161" t="s">
        <v>93</v>
      </c>
      <c r="E19" s="147">
        <f>D9/E15</f>
        <v>68.209095898580458</v>
      </c>
      <c r="F19" s="147">
        <f>F9/F15</f>
        <v>146.63485958293484</v>
      </c>
      <c r="G19" s="161" t="s">
        <v>93</v>
      </c>
      <c r="H19" s="162" t="s">
        <v>93</v>
      </c>
    </row>
    <row r="20" spans="1:8" ht="16.5" customHeight="1"/>
    <row r="21" spans="1:8" ht="16.5" customHeight="1"/>
    <row r="22" spans="1:8" ht="16.5" customHeight="1"/>
    <row r="23" spans="1:8" ht="16.5" customHeight="1"/>
    <row r="24" spans="1:8" ht="16.5" customHeight="1"/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1">
    <mergeCell ref="A18:A19"/>
    <mergeCell ref="A1:H1"/>
    <mergeCell ref="F5:G5"/>
    <mergeCell ref="D5:E5"/>
    <mergeCell ref="D9:E9"/>
    <mergeCell ref="A3:A12"/>
    <mergeCell ref="D6:E6"/>
    <mergeCell ref="F6:G6"/>
    <mergeCell ref="D7:E7"/>
    <mergeCell ref="F7:G7"/>
    <mergeCell ref="A13:A17"/>
    <mergeCell ref="F9:G9"/>
    <mergeCell ref="D10:E10"/>
    <mergeCell ref="F10:G10"/>
    <mergeCell ref="F13:G13"/>
    <mergeCell ref="F12:G12"/>
    <mergeCell ref="D13:E13"/>
    <mergeCell ref="D14:E14"/>
    <mergeCell ref="D12:E12"/>
    <mergeCell ref="D11:E11"/>
    <mergeCell ref="F11:G11"/>
  </mergeCells>
  <phoneticPr fontId="2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workbookViewId="0">
      <selection activeCell="L14" sqref="L14:L15"/>
    </sheetView>
  </sheetViews>
  <sheetFormatPr defaultColWidth="12.625" defaultRowHeight="15" customHeight="1"/>
  <cols>
    <col min="1" max="1" width="7.25" bestFit="1" customWidth="1"/>
    <col min="2" max="2" width="32.75" bestFit="1" customWidth="1"/>
    <col min="3" max="3" width="14" customWidth="1"/>
    <col min="4" max="4" width="12.625" customWidth="1"/>
    <col min="5" max="5" width="10.25" customWidth="1"/>
    <col min="6" max="6" width="10.875" customWidth="1"/>
    <col min="7" max="7" width="13.125" customWidth="1"/>
    <col min="8" max="8" width="11.75" customWidth="1"/>
    <col min="9" max="11" width="7.625" customWidth="1"/>
  </cols>
  <sheetData>
    <row r="1" spans="1:8" ht="19.5">
      <c r="A1" s="361" t="s">
        <v>219</v>
      </c>
      <c r="B1" s="367"/>
      <c r="C1" s="367"/>
      <c r="D1" s="367"/>
      <c r="E1" s="367"/>
      <c r="F1" s="367"/>
      <c r="G1" s="367"/>
      <c r="H1" s="368"/>
    </row>
    <row r="2" spans="1:8" ht="16.5" customHeight="1">
      <c r="A2" s="57" t="s">
        <v>84</v>
      </c>
      <c r="B2" s="57" t="s">
        <v>85</v>
      </c>
      <c r="C2" s="58" t="s">
        <v>86</v>
      </c>
      <c r="D2" s="59" t="s">
        <v>87</v>
      </c>
      <c r="E2" s="59" t="s">
        <v>125</v>
      </c>
      <c r="F2" s="59" t="s">
        <v>89</v>
      </c>
      <c r="G2" s="59" t="s">
        <v>90</v>
      </c>
      <c r="H2" s="60" t="s">
        <v>91</v>
      </c>
    </row>
    <row r="3" spans="1:8" ht="19.5" customHeight="1">
      <c r="A3" s="364" t="s">
        <v>126</v>
      </c>
      <c r="B3" s="61" t="s">
        <v>127</v>
      </c>
      <c r="C3" s="23">
        <f>'1.1-基本資料與量測資料'!C13</f>
        <v>86</v>
      </c>
      <c r="D3" s="24">
        <f>'1.1-基本資料與量測資料'!C12</f>
        <v>120</v>
      </c>
      <c r="E3" s="25" t="s">
        <v>93</v>
      </c>
      <c r="F3" s="25" t="s">
        <v>93</v>
      </c>
      <c r="G3" s="25" t="s">
        <v>93</v>
      </c>
      <c r="H3" s="26" t="s">
        <v>93</v>
      </c>
    </row>
    <row r="4" spans="1:8" ht="19.5" customHeight="1">
      <c r="A4" s="372"/>
      <c r="B4" s="63" t="s">
        <v>128</v>
      </c>
      <c r="C4" s="31" t="s">
        <v>93</v>
      </c>
      <c r="D4" s="346">
        <f>'1.1-基本資料與量測資料'!C19</f>
        <v>5</v>
      </c>
      <c r="E4" s="365"/>
      <c r="F4" s="346">
        <f>'1.1-基本資料與量測資料'!E19</f>
        <v>5</v>
      </c>
      <c r="G4" s="365"/>
      <c r="H4" s="28" t="s">
        <v>93</v>
      </c>
    </row>
    <row r="5" spans="1:8" ht="19.5" customHeight="1">
      <c r="A5" s="372"/>
      <c r="B5" s="63" t="s">
        <v>115</v>
      </c>
      <c r="C5" s="195">
        <f>'2-現況修正回溫差5℃'!C4</f>
        <v>1.0419767441860466</v>
      </c>
      <c r="D5" s="108">
        <f>'2-現況修正回溫差5℃'!D4</f>
        <v>1.0106164980775878</v>
      </c>
      <c r="E5" s="54" t="s">
        <v>93</v>
      </c>
      <c r="F5" s="54" t="s">
        <v>93</v>
      </c>
      <c r="G5" s="54" t="s">
        <v>93</v>
      </c>
      <c r="H5" s="28" t="s">
        <v>93</v>
      </c>
    </row>
    <row r="6" spans="1:8" ht="19.5" customHeight="1">
      <c r="A6" s="372"/>
      <c r="B6" s="63" t="s">
        <v>217</v>
      </c>
      <c r="C6" s="31" t="s">
        <v>93</v>
      </c>
      <c r="D6" s="341">
        <f>'1.1-基本資料與量測資料'!E28</f>
        <v>0</v>
      </c>
      <c r="E6" s="365"/>
      <c r="F6" s="341">
        <f>'1.1-基本資料與量測資料'!C66</f>
        <v>2.6</v>
      </c>
      <c r="G6" s="365"/>
      <c r="H6" s="28" t="s">
        <v>93</v>
      </c>
    </row>
    <row r="7" spans="1:8" ht="19.5" customHeight="1">
      <c r="A7" s="372"/>
      <c r="B7" s="63" t="s">
        <v>220</v>
      </c>
      <c r="C7" s="31" t="s">
        <v>93</v>
      </c>
      <c r="D7" s="339">
        <f>'1.2-系統量測數據計算'!E19</f>
        <v>2.0934417997610273E-5</v>
      </c>
      <c r="E7" s="365"/>
      <c r="F7" s="339">
        <f>'1.2-系統量測數據計算'!G19</f>
        <v>4.4980531606781368E-6</v>
      </c>
      <c r="G7" s="365"/>
      <c r="H7" s="28" t="s">
        <v>93</v>
      </c>
    </row>
    <row r="8" spans="1:8" ht="19.5" customHeight="1">
      <c r="A8" s="372"/>
      <c r="B8" s="63" t="s">
        <v>129</v>
      </c>
      <c r="C8" s="31" t="s">
        <v>93</v>
      </c>
      <c r="D8" s="341">
        <f>'2-現況修正回溫差5℃'!D13</f>
        <v>1222.3582786494867</v>
      </c>
      <c r="E8" s="365"/>
      <c r="F8" s="341">
        <f>'2-現況修正回溫差5℃'!F13</f>
        <v>1499.5449480972941</v>
      </c>
      <c r="G8" s="365"/>
      <c r="H8" s="28" t="s">
        <v>93</v>
      </c>
    </row>
    <row r="9" spans="1:8" ht="19.5" customHeight="1">
      <c r="A9" s="372"/>
      <c r="B9" s="63" t="s">
        <v>130</v>
      </c>
      <c r="C9" s="31" t="s">
        <v>93</v>
      </c>
      <c r="D9" s="341">
        <f>'2-現況修正回溫差5℃'!D14</f>
        <v>31.279365000000013</v>
      </c>
      <c r="E9" s="365"/>
      <c r="F9" s="341">
        <f>'2-現況修正回溫差5℃'!F14</f>
        <v>14.55</v>
      </c>
      <c r="G9" s="365"/>
      <c r="H9" s="28" t="s">
        <v>93</v>
      </c>
    </row>
    <row r="10" spans="1:8" ht="19.5" customHeight="1">
      <c r="A10" s="372"/>
      <c r="B10" s="63" t="s">
        <v>131</v>
      </c>
      <c r="C10" s="31" t="s">
        <v>93</v>
      </c>
      <c r="D10" s="113">
        <f>'1.2-系統量測數據計算'!E12</f>
        <v>0.73890541211278538</v>
      </c>
      <c r="E10" s="54" t="s">
        <v>93</v>
      </c>
      <c r="F10" s="54" t="s">
        <v>93</v>
      </c>
      <c r="G10" s="54" t="s">
        <v>93</v>
      </c>
      <c r="H10" s="28" t="s">
        <v>93</v>
      </c>
    </row>
    <row r="11" spans="1:8" ht="19.5" customHeight="1">
      <c r="A11" s="373"/>
      <c r="B11" s="65" t="s">
        <v>132</v>
      </c>
      <c r="C11" s="33" t="s">
        <v>93</v>
      </c>
      <c r="D11" s="45" t="s">
        <v>93</v>
      </c>
      <c r="E11" s="196">
        <f>'2-現況修正回溫差5℃'!E8</f>
        <v>1.842864662698029</v>
      </c>
      <c r="F11" s="196">
        <f>'1.2-系統量測數據計算'!G16</f>
        <v>2.8479650878803175</v>
      </c>
      <c r="G11" s="197">
        <f>'1.2-系統量測數據計算'!H16</f>
        <v>2.3068331525435276E-3</v>
      </c>
      <c r="H11" s="34" t="s">
        <v>93</v>
      </c>
    </row>
    <row r="12" spans="1:8" ht="19.5" customHeight="1">
      <c r="A12" s="371" t="s">
        <v>133</v>
      </c>
      <c r="B12" s="72" t="s">
        <v>115</v>
      </c>
      <c r="C12" s="198">
        <v>1</v>
      </c>
      <c r="D12" s="73" t="s">
        <v>93</v>
      </c>
      <c r="E12" s="73" t="s">
        <v>93</v>
      </c>
      <c r="F12" s="73" t="s">
        <v>93</v>
      </c>
      <c r="G12" s="73" t="s">
        <v>93</v>
      </c>
      <c r="H12" s="74" t="s">
        <v>93</v>
      </c>
    </row>
    <row r="13" spans="1:8" ht="19.5" customHeight="1">
      <c r="A13" s="372"/>
      <c r="B13" s="63" t="s">
        <v>134</v>
      </c>
      <c r="C13" s="101">
        <f>C3</f>
        <v>86</v>
      </c>
      <c r="D13" s="54" t="s">
        <v>93</v>
      </c>
      <c r="E13" s="54" t="s">
        <v>93</v>
      </c>
      <c r="F13" s="54" t="s">
        <v>93</v>
      </c>
      <c r="G13" s="54" t="s">
        <v>93</v>
      </c>
      <c r="H13" s="28" t="s">
        <v>93</v>
      </c>
    </row>
    <row r="14" spans="1:8" ht="19.5" customHeight="1">
      <c r="A14" s="372"/>
      <c r="B14" s="63" t="s">
        <v>135</v>
      </c>
      <c r="C14" s="31" t="s">
        <v>93</v>
      </c>
      <c r="D14" s="363">
        <f>C13/D10</f>
        <v>116.38837473675601</v>
      </c>
      <c r="E14" s="365"/>
      <c r="F14" s="366"/>
      <c r="G14" s="365"/>
      <c r="H14" s="28" t="s">
        <v>93</v>
      </c>
    </row>
    <row r="15" spans="1:8" ht="19.5" customHeight="1">
      <c r="A15" s="372"/>
      <c r="B15" s="63" t="s">
        <v>136</v>
      </c>
      <c r="C15" s="31" t="s">
        <v>93</v>
      </c>
      <c r="D15" s="341">
        <f>D14*10</f>
        <v>1163.8837473675601</v>
      </c>
      <c r="E15" s="365"/>
      <c r="F15" s="341">
        <f>D14*12.5</f>
        <v>1454.8546842094502</v>
      </c>
      <c r="G15" s="365"/>
      <c r="H15" s="28" t="s">
        <v>93</v>
      </c>
    </row>
    <row r="16" spans="1:8" ht="19.5" customHeight="1">
      <c r="A16" s="372"/>
      <c r="B16" s="63" t="s">
        <v>137</v>
      </c>
      <c r="C16" s="31" t="s">
        <v>93</v>
      </c>
      <c r="D16" s="54" t="s">
        <v>93</v>
      </c>
      <c r="E16" s="55">
        <f>D6+D7*D15^2</f>
        <v>28.358293880376504</v>
      </c>
      <c r="F16" s="55">
        <f>F6+F7*F15^2</f>
        <v>12.120589000449227</v>
      </c>
      <c r="G16" s="54" t="s">
        <v>93</v>
      </c>
      <c r="H16" s="28" t="s">
        <v>93</v>
      </c>
    </row>
    <row r="17" spans="1:8" ht="19.5" customHeight="1">
      <c r="A17" s="372"/>
      <c r="B17" s="63" t="s">
        <v>138</v>
      </c>
      <c r="C17" s="31" t="s">
        <v>93</v>
      </c>
      <c r="D17" s="54" t="s">
        <v>93</v>
      </c>
      <c r="E17" s="55">
        <f>1000*9.81*E16*D15/60/1000/1000</f>
        <v>5.396441326797456</v>
      </c>
      <c r="F17" s="55">
        <f>1000*9.81*F16*F15/60/1000/1000</f>
        <v>2.8831092441183594</v>
      </c>
      <c r="G17" s="54" t="s">
        <v>93</v>
      </c>
      <c r="H17" s="28" t="s">
        <v>93</v>
      </c>
    </row>
    <row r="18" spans="1:8" ht="19.5" customHeight="1">
      <c r="A18" s="372"/>
      <c r="B18" s="63" t="s">
        <v>139</v>
      </c>
      <c r="C18" s="31" t="s">
        <v>93</v>
      </c>
      <c r="D18" s="349">
        <f>D15/60*4.186*D4</f>
        <v>406.00144720671722</v>
      </c>
      <c r="E18" s="365"/>
      <c r="F18" s="341">
        <f>F15/60*4.186*F4</f>
        <v>507.50180900839655</v>
      </c>
      <c r="G18" s="365"/>
      <c r="H18" s="28" t="s">
        <v>93</v>
      </c>
    </row>
    <row r="19" spans="1:8" ht="19.5" customHeight="1">
      <c r="A19" s="372"/>
      <c r="B19" s="63" t="s">
        <v>135</v>
      </c>
      <c r="C19" s="31"/>
      <c r="D19" s="349">
        <f>D18/3.516</f>
        <v>115.47253902352594</v>
      </c>
      <c r="E19" s="365"/>
      <c r="F19" s="341">
        <f>F18/3.516</f>
        <v>144.34067377940744</v>
      </c>
      <c r="G19" s="365"/>
      <c r="H19" s="28"/>
    </row>
    <row r="20" spans="1:8" ht="19.5" customHeight="1">
      <c r="A20" s="372"/>
      <c r="B20" s="63" t="s">
        <v>124</v>
      </c>
      <c r="C20" s="31" t="s">
        <v>93</v>
      </c>
      <c r="D20" s="55">
        <f>C13</f>
        <v>86</v>
      </c>
      <c r="E20" s="55">
        <f t="shared" ref="E20:F20" si="0">E17*E11</f>
        <v>9.944911025478298</v>
      </c>
      <c r="F20" s="55">
        <f t="shared" si="0"/>
        <v>8.2109944717941001</v>
      </c>
      <c r="G20" s="55">
        <f>G11*F15</f>
        <v>3.3561070176676044</v>
      </c>
      <c r="H20" s="67">
        <f t="shared" ref="H20:H21" si="1">SUM(D20:G20)</f>
        <v>107.51201251494</v>
      </c>
    </row>
    <row r="21" spans="1:8" ht="19.5" customHeight="1" thickBot="1">
      <c r="A21" s="372"/>
      <c r="B21" s="155" t="s">
        <v>102</v>
      </c>
      <c r="C21" s="36" t="s">
        <v>93</v>
      </c>
      <c r="D21" s="37">
        <f>D20/D14</f>
        <v>0.73890541211278538</v>
      </c>
      <c r="E21" s="37">
        <f>E20/D14</f>
        <v>8.5445913717511923E-2</v>
      </c>
      <c r="F21" s="37">
        <f>F20/D14</f>
        <v>7.0548235512056079E-2</v>
      </c>
      <c r="G21" s="37">
        <f>G20/D14</f>
        <v>2.8835414406794099E-2</v>
      </c>
      <c r="H21" s="38">
        <f t="shared" si="1"/>
        <v>0.92373497574914742</v>
      </c>
    </row>
    <row r="22" spans="1:8" ht="25.15" customHeight="1" thickBot="1">
      <c r="A22" s="369" t="s">
        <v>103</v>
      </c>
      <c r="B22" s="163" t="s">
        <v>104</v>
      </c>
      <c r="C22" s="164" t="s">
        <v>93</v>
      </c>
      <c r="D22" s="165" t="s">
        <v>93</v>
      </c>
      <c r="E22" s="166">
        <f>D18/E20</f>
        <v>40.825045710973633</v>
      </c>
      <c r="F22" s="166">
        <f>F18/F20</f>
        <v>61.807593556631339</v>
      </c>
      <c r="G22" s="166">
        <f>F18/G20</f>
        <v>151.21740943800276</v>
      </c>
      <c r="H22" s="167" t="s">
        <v>93</v>
      </c>
    </row>
    <row r="23" spans="1:8" ht="24" customHeight="1" thickBot="1">
      <c r="A23" s="370"/>
      <c r="B23" s="160" t="s">
        <v>269</v>
      </c>
      <c r="C23" s="161" t="s">
        <v>93</v>
      </c>
      <c r="D23" s="161" t="s">
        <v>93</v>
      </c>
      <c r="E23" s="147">
        <f>D18/E17</f>
        <v>75.235034093785046</v>
      </c>
      <c r="F23" s="147">
        <f>F18/F17</f>
        <v>176.02586861518253</v>
      </c>
      <c r="G23" s="161" t="s">
        <v>93</v>
      </c>
      <c r="H23" s="162" t="s">
        <v>93</v>
      </c>
    </row>
    <row r="24" spans="1:8" ht="16.5" customHeight="1"/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2">
    <mergeCell ref="A22:A23"/>
    <mergeCell ref="D18:E18"/>
    <mergeCell ref="D19:E19"/>
    <mergeCell ref="A12:A21"/>
    <mergeCell ref="A3:A11"/>
    <mergeCell ref="A1:H1"/>
    <mergeCell ref="F4:G4"/>
    <mergeCell ref="F9:G9"/>
    <mergeCell ref="D9:E9"/>
    <mergeCell ref="F18:G18"/>
    <mergeCell ref="D4:E4"/>
    <mergeCell ref="D6:E6"/>
    <mergeCell ref="F6:G6"/>
    <mergeCell ref="D7:E7"/>
    <mergeCell ref="F7:G7"/>
    <mergeCell ref="F19:G19"/>
    <mergeCell ref="D8:E8"/>
    <mergeCell ref="F8:G8"/>
    <mergeCell ref="D15:E15"/>
    <mergeCell ref="D14:E14"/>
    <mergeCell ref="F15:G15"/>
    <mergeCell ref="F14:G14"/>
  </mergeCells>
  <phoneticPr fontId="21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"/>
  <sheetViews>
    <sheetView zoomScale="85" zoomScaleNormal="85" workbookViewId="0">
      <selection activeCell="M26" sqref="M26:N26"/>
    </sheetView>
  </sheetViews>
  <sheetFormatPr defaultColWidth="12.625" defaultRowHeight="15" customHeight="1"/>
  <cols>
    <col min="1" max="1" width="7" bestFit="1" customWidth="1"/>
    <col min="2" max="2" width="32.875" bestFit="1" customWidth="1"/>
    <col min="3" max="3" width="10" customWidth="1"/>
    <col min="4" max="4" width="14" customWidth="1"/>
    <col min="5" max="5" width="12.25" customWidth="1"/>
    <col min="6" max="6" width="11.375" customWidth="1"/>
    <col min="7" max="7" width="14.25" customWidth="1"/>
    <col min="8" max="8" width="10.5" bestFit="1" customWidth="1"/>
    <col min="9" max="20" width="7.625" customWidth="1"/>
  </cols>
  <sheetData>
    <row r="1" spans="1:8" ht="16.5" customHeight="1">
      <c r="A1" s="361" t="s">
        <v>140</v>
      </c>
      <c r="B1" s="367"/>
      <c r="C1" s="367"/>
      <c r="D1" s="367"/>
      <c r="E1" s="367"/>
      <c r="F1" s="367"/>
      <c r="G1" s="367"/>
      <c r="H1" s="368"/>
    </row>
    <row r="2" spans="1:8" ht="19.5">
      <c r="A2" s="102" t="s">
        <v>84</v>
      </c>
      <c r="B2" s="102" t="s">
        <v>85</v>
      </c>
      <c r="C2" s="103" t="s">
        <v>141</v>
      </c>
      <c r="D2" s="104" t="s">
        <v>83</v>
      </c>
      <c r="E2" s="104" t="s">
        <v>142</v>
      </c>
      <c r="F2" s="104" t="s">
        <v>143</v>
      </c>
      <c r="G2" s="104" t="s">
        <v>144</v>
      </c>
      <c r="H2" s="105" t="s">
        <v>145</v>
      </c>
    </row>
    <row r="3" spans="1:8" ht="22.5">
      <c r="A3" s="364" t="s">
        <v>106</v>
      </c>
      <c r="B3" s="22" t="s">
        <v>221</v>
      </c>
      <c r="C3" s="40" t="s">
        <v>93</v>
      </c>
      <c r="D3" s="347">
        <f>'1.2-系統量測數據計算'!E18</f>
        <v>0</v>
      </c>
      <c r="E3" s="380"/>
      <c r="F3" s="347">
        <f>'1.2-系統量測數據計算'!G18</f>
        <v>2.6</v>
      </c>
      <c r="G3" s="380"/>
      <c r="H3" s="26" t="s">
        <v>93</v>
      </c>
    </row>
    <row r="4" spans="1:8" ht="22.5">
      <c r="A4" s="372"/>
      <c r="B4" s="27" t="s">
        <v>222</v>
      </c>
      <c r="C4" s="64" t="s">
        <v>93</v>
      </c>
      <c r="D4" s="339">
        <f>'1.2-系統量測數據計算'!E19</f>
        <v>2.0934417997610273E-5</v>
      </c>
      <c r="E4" s="365"/>
      <c r="F4" s="339">
        <f>'1.2-系統量測數據計算'!G19</f>
        <v>4.4980531606781368E-6</v>
      </c>
      <c r="G4" s="365"/>
      <c r="H4" s="28" t="s">
        <v>93</v>
      </c>
    </row>
    <row r="5" spans="1:8" ht="22.15" customHeight="1">
      <c r="A5" s="376"/>
      <c r="B5" s="81" t="s">
        <v>146</v>
      </c>
      <c r="C5" s="82" t="s">
        <v>93</v>
      </c>
      <c r="D5" s="83" t="s">
        <v>93</v>
      </c>
      <c r="E5" s="83" t="s">
        <v>93</v>
      </c>
      <c r="F5" s="83" t="s">
        <v>93</v>
      </c>
      <c r="G5" s="106">
        <f>'1.2-系統量測數據計算'!H16</f>
        <v>2.3068331525435276E-3</v>
      </c>
      <c r="H5" s="84" t="s">
        <v>93</v>
      </c>
    </row>
    <row r="6" spans="1:8" ht="19.5">
      <c r="A6" s="364" t="s">
        <v>147</v>
      </c>
      <c r="B6" s="61" t="s">
        <v>148</v>
      </c>
      <c r="C6" s="62">
        <v>72</v>
      </c>
      <c r="D6" s="24">
        <v>120</v>
      </c>
      <c r="E6" s="25" t="s">
        <v>93</v>
      </c>
      <c r="F6" s="25" t="s">
        <v>93</v>
      </c>
      <c r="G6" s="25" t="s">
        <v>93</v>
      </c>
      <c r="H6" s="26" t="s">
        <v>93</v>
      </c>
    </row>
    <row r="7" spans="1:8" ht="19.5">
      <c r="A7" s="372"/>
      <c r="B7" s="63" t="s">
        <v>128</v>
      </c>
      <c r="C7" s="64" t="s">
        <v>93</v>
      </c>
      <c r="D7" s="346">
        <v>5</v>
      </c>
      <c r="E7" s="365"/>
      <c r="F7" s="107">
        <v>5</v>
      </c>
      <c r="G7" s="107">
        <v>5</v>
      </c>
      <c r="H7" s="28" t="s">
        <v>93</v>
      </c>
    </row>
    <row r="8" spans="1:8" ht="19.5">
      <c r="A8" s="372"/>
      <c r="B8" s="63" t="s">
        <v>115</v>
      </c>
      <c r="C8" s="192">
        <v>1</v>
      </c>
      <c r="D8" s="108">
        <v>1</v>
      </c>
      <c r="E8" s="54" t="s">
        <v>93</v>
      </c>
      <c r="F8" s="54" t="s">
        <v>93</v>
      </c>
      <c r="G8" s="54" t="s">
        <v>93</v>
      </c>
      <c r="H8" s="28" t="s">
        <v>93</v>
      </c>
    </row>
    <row r="9" spans="1:8" ht="19.5">
      <c r="A9" s="372"/>
      <c r="B9" s="63" t="s">
        <v>136</v>
      </c>
      <c r="C9" s="64" t="s">
        <v>93</v>
      </c>
      <c r="D9" s="54" t="s">
        <v>93</v>
      </c>
      <c r="E9" s="109">
        <f>D6*10</f>
        <v>1200</v>
      </c>
      <c r="F9" s="363">
        <f>D6*12.5</f>
        <v>1500</v>
      </c>
      <c r="G9" s="365"/>
      <c r="H9" s="28" t="s">
        <v>93</v>
      </c>
    </row>
    <row r="10" spans="1:8" ht="19.5">
      <c r="A10" s="372"/>
      <c r="B10" s="63" t="s">
        <v>149</v>
      </c>
      <c r="C10" s="64" t="s">
        <v>93</v>
      </c>
      <c r="D10" s="54" t="s">
        <v>93</v>
      </c>
      <c r="E10" s="110">
        <f t="shared" ref="E10:F10" si="0">E9/1000/60</f>
        <v>0.02</v>
      </c>
      <c r="F10" s="110">
        <f t="shared" si="0"/>
        <v>2.5000000000000001E-2</v>
      </c>
      <c r="G10" s="54" t="s">
        <v>93</v>
      </c>
      <c r="H10" s="28" t="s">
        <v>93</v>
      </c>
    </row>
    <row r="11" spans="1:8" ht="19.5">
      <c r="A11" s="372"/>
      <c r="B11" s="63" t="s">
        <v>150</v>
      </c>
      <c r="C11" s="64" t="s">
        <v>93</v>
      </c>
      <c r="D11" s="54" t="s">
        <v>93</v>
      </c>
      <c r="E11" s="55">
        <f t="shared" ref="E11:F11" si="1">E9/1000*60</f>
        <v>72</v>
      </c>
      <c r="F11" s="55">
        <f t="shared" si="1"/>
        <v>90</v>
      </c>
      <c r="G11" s="54" t="s">
        <v>93</v>
      </c>
      <c r="H11" s="28" t="s">
        <v>93</v>
      </c>
    </row>
    <row r="12" spans="1:8" ht="19.5">
      <c r="A12" s="372"/>
      <c r="B12" s="63" t="s">
        <v>137</v>
      </c>
      <c r="C12" s="64" t="s">
        <v>93</v>
      </c>
      <c r="D12" s="54" t="s">
        <v>93</v>
      </c>
      <c r="E12" s="55">
        <f>D3+D4*E9^2</f>
        <v>30.145561916558794</v>
      </c>
      <c r="F12" s="55">
        <f>F3+F4*F9^2</f>
        <v>12.720619611525807</v>
      </c>
      <c r="G12" s="54" t="s">
        <v>93</v>
      </c>
      <c r="H12" s="28" t="s">
        <v>93</v>
      </c>
    </row>
    <row r="13" spans="1:8" ht="19.5">
      <c r="A13" s="372"/>
      <c r="B13" s="63" t="s">
        <v>131</v>
      </c>
      <c r="C13" s="64" t="s">
        <v>93</v>
      </c>
      <c r="D13" s="55">
        <v>0.6</v>
      </c>
      <c r="E13" s="54" t="s">
        <v>93</v>
      </c>
      <c r="F13" s="54" t="s">
        <v>93</v>
      </c>
      <c r="G13" s="54" t="s">
        <v>93</v>
      </c>
      <c r="H13" s="28" t="s">
        <v>93</v>
      </c>
    </row>
    <row r="14" spans="1:8" ht="19.5">
      <c r="A14" s="372"/>
      <c r="B14" s="63" t="s">
        <v>99</v>
      </c>
      <c r="C14" s="64" t="s">
        <v>93</v>
      </c>
      <c r="D14" s="341">
        <f>E9/60*4.186*D7</f>
        <v>418.6</v>
      </c>
      <c r="E14" s="365"/>
      <c r="F14" s="55">
        <f>F9*4.186*F7/60</f>
        <v>523.25</v>
      </c>
      <c r="G14" s="54" t="s">
        <v>93</v>
      </c>
      <c r="H14" s="28" t="s">
        <v>93</v>
      </c>
    </row>
    <row r="15" spans="1:8" ht="19.5">
      <c r="A15" s="372"/>
      <c r="B15" s="63" t="s">
        <v>100</v>
      </c>
      <c r="C15" s="64" t="s">
        <v>93</v>
      </c>
      <c r="D15" s="55">
        <f>D14/3.516</f>
        <v>119.05574516496019</v>
      </c>
      <c r="E15" s="54" t="s">
        <v>93</v>
      </c>
      <c r="F15" s="55">
        <f>F14/3.516</f>
        <v>148.81968145620021</v>
      </c>
      <c r="G15" s="54" t="s">
        <v>93</v>
      </c>
      <c r="H15" s="28" t="s">
        <v>93</v>
      </c>
    </row>
    <row r="16" spans="1:8" ht="19.5">
      <c r="A16" s="372"/>
      <c r="B16" s="63" t="s">
        <v>138</v>
      </c>
      <c r="C16" s="64" t="s">
        <v>93</v>
      </c>
      <c r="D16" s="54" t="s">
        <v>93</v>
      </c>
      <c r="E16" s="55">
        <f t="shared" ref="E16:F16" si="2">1000*9.81*E12*E9/60/1000/1000</f>
        <v>5.9145592480288354</v>
      </c>
      <c r="F16" s="55">
        <f t="shared" si="2"/>
        <v>3.1197319597267041</v>
      </c>
      <c r="G16" s="54" t="s">
        <v>93</v>
      </c>
      <c r="H16" s="28" t="s">
        <v>93</v>
      </c>
    </row>
    <row r="17" spans="1:8" ht="19.5">
      <c r="A17" s="372"/>
      <c r="B17" s="63" t="s">
        <v>151</v>
      </c>
      <c r="C17" s="64" t="s">
        <v>93</v>
      </c>
      <c r="D17" s="54" t="s">
        <v>93</v>
      </c>
      <c r="E17" s="111">
        <v>1750</v>
      </c>
      <c r="F17" s="111">
        <v>1750</v>
      </c>
      <c r="G17" s="54" t="s">
        <v>93</v>
      </c>
      <c r="H17" s="28" t="s">
        <v>93</v>
      </c>
    </row>
    <row r="18" spans="1:8" ht="19.5">
      <c r="A18" s="372"/>
      <c r="B18" s="63" t="s">
        <v>152</v>
      </c>
      <c r="C18" s="64" t="s">
        <v>93</v>
      </c>
      <c r="D18" s="54" t="s">
        <v>93</v>
      </c>
      <c r="E18" s="111">
        <f t="shared" ref="E18:F18" si="3">E17*(E10^0.5)/E12^0.75</f>
        <v>19.236918668278907</v>
      </c>
      <c r="F18" s="111">
        <f t="shared" si="3"/>
        <v>41.079661237541977</v>
      </c>
      <c r="G18" s="54" t="s">
        <v>93</v>
      </c>
      <c r="H18" s="28" t="s">
        <v>93</v>
      </c>
    </row>
    <row r="19" spans="1:8" ht="19.5">
      <c r="A19" s="372"/>
      <c r="B19" s="63" t="s">
        <v>153</v>
      </c>
      <c r="C19" s="64" t="s">
        <v>93</v>
      </c>
      <c r="D19" s="55">
        <v>128.46</v>
      </c>
      <c r="E19" s="55">
        <v>128.46</v>
      </c>
      <c r="F19" s="55">
        <v>128.46</v>
      </c>
      <c r="G19" s="54" t="s">
        <v>93</v>
      </c>
      <c r="H19" s="28" t="s">
        <v>93</v>
      </c>
    </row>
    <row r="20" spans="1:8" ht="19.5">
      <c r="A20" s="372"/>
      <c r="B20" s="63" t="s">
        <v>154</v>
      </c>
      <c r="C20" s="64" t="s">
        <v>93</v>
      </c>
      <c r="D20" s="54" t="s">
        <v>93</v>
      </c>
      <c r="E20" s="112">
        <f t="shared" ref="E20:F20" si="4">88.59*LN(E18)+13.46*LN(E11)-11.48*LN(E18)^2-0.85*LN(E11)^2-0.38*LN(E18)*LN(E11)-E19</f>
        <v>70.330040482414319</v>
      </c>
      <c r="F20" s="112">
        <f t="shared" si="4"/>
        <v>79.218609462837236</v>
      </c>
      <c r="G20" s="54" t="s">
        <v>93</v>
      </c>
      <c r="H20" s="28" t="s">
        <v>93</v>
      </c>
    </row>
    <row r="21" spans="1:8" ht="19.5">
      <c r="A21" s="372"/>
      <c r="B21" s="63" t="s">
        <v>155</v>
      </c>
      <c r="C21" s="64" t="s">
        <v>93</v>
      </c>
      <c r="D21" s="54" t="s">
        <v>93</v>
      </c>
      <c r="E21" s="112">
        <f t="shared" ref="E21:F21" si="5">E16/(E20/100)</f>
        <v>8.4097196695169583</v>
      </c>
      <c r="F21" s="112">
        <f t="shared" si="5"/>
        <v>3.9381301702729612</v>
      </c>
      <c r="G21" s="54" t="s">
        <v>93</v>
      </c>
      <c r="H21" s="28" t="s">
        <v>93</v>
      </c>
    </row>
    <row r="22" spans="1:8" ht="19.5">
      <c r="A22" s="372"/>
      <c r="B22" s="63" t="s">
        <v>156</v>
      </c>
      <c r="C22" s="64" t="s">
        <v>93</v>
      </c>
      <c r="D22" s="54" t="s">
        <v>93</v>
      </c>
      <c r="E22" s="109">
        <v>92.4</v>
      </c>
      <c r="F22" s="109">
        <v>91.7</v>
      </c>
      <c r="G22" s="54" t="s">
        <v>93</v>
      </c>
      <c r="H22" s="28" t="s">
        <v>93</v>
      </c>
    </row>
    <row r="23" spans="1:8" ht="19.5">
      <c r="A23" s="372"/>
      <c r="B23" s="63" t="s">
        <v>132</v>
      </c>
      <c r="C23" s="64" t="s">
        <v>93</v>
      </c>
      <c r="D23" s="54" t="s">
        <v>93</v>
      </c>
      <c r="E23" s="55">
        <f>1/(E20*E22/10000)</f>
        <v>1.5388176586101832</v>
      </c>
      <c r="F23" s="55">
        <f>1/(F22*F20/10000)</f>
        <v>1.3765863201698809</v>
      </c>
      <c r="G23" s="54" t="s">
        <v>93</v>
      </c>
      <c r="H23" s="28" t="s">
        <v>93</v>
      </c>
    </row>
    <row r="24" spans="1:8" ht="19.5">
      <c r="A24" s="372"/>
      <c r="B24" s="63" t="s">
        <v>95</v>
      </c>
      <c r="C24" s="379">
        <f>C6</f>
        <v>72</v>
      </c>
      <c r="D24" s="365"/>
      <c r="E24" s="29">
        <f t="shared" ref="E24:F24" si="6">E23*E16</f>
        <v>9.1014282137629383</v>
      </c>
      <c r="F24" s="29">
        <f t="shared" si="6"/>
        <v>4.2945803383565551</v>
      </c>
      <c r="G24" s="113">
        <f>F9*G5</f>
        <v>3.4602497288152914</v>
      </c>
      <c r="H24" s="30">
        <f t="shared" ref="H24:H25" si="7">SUMIF(C24:G24,"&gt;0")</f>
        <v>88.856258280934782</v>
      </c>
    </row>
    <row r="25" spans="1:8" ht="20.25" thickBot="1">
      <c r="A25" s="372"/>
      <c r="B25" s="155" t="s">
        <v>102</v>
      </c>
      <c r="C25" s="377">
        <f>C6/D6</f>
        <v>0.6</v>
      </c>
      <c r="D25" s="378"/>
      <c r="E25" s="37">
        <f>E24/D6</f>
        <v>7.5845235114691156E-2</v>
      </c>
      <c r="F25" s="37">
        <f>F24/D6</f>
        <v>3.5788169486304623E-2</v>
      </c>
      <c r="G25" s="37">
        <f>G24/D6</f>
        <v>2.8835414406794095E-2</v>
      </c>
      <c r="H25" s="38">
        <f t="shared" si="7"/>
        <v>0.74046881900778971</v>
      </c>
    </row>
    <row r="26" spans="1:8" ht="19.5">
      <c r="A26" s="374" t="s">
        <v>103</v>
      </c>
      <c r="B26" s="156" t="s">
        <v>104</v>
      </c>
      <c r="C26" s="157" t="s">
        <v>93</v>
      </c>
      <c r="D26" s="157" t="s">
        <v>93</v>
      </c>
      <c r="E26" s="158">
        <f>D14/E24</f>
        <v>45.992781590806175</v>
      </c>
      <c r="F26" s="158">
        <f>F14/F24</f>
        <v>121.83961150444718</v>
      </c>
      <c r="G26" s="158">
        <f>F14/G24</f>
        <v>151.21740943800279</v>
      </c>
      <c r="H26" s="159" t="s">
        <v>93</v>
      </c>
    </row>
    <row r="27" spans="1:8" ht="20.25" thickBot="1">
      <c r="A27" s="375"/>
      <c r="B27" s="160" t="s">
        <v>269</v>
      </c>
      <c r="C27" s="161" t="s">
        <v>93</v>
      </c>
      <c r="D27" s="161" t="s">
        <v>93</v>
      </c>
      <c r="E27" s="147">
        <f>D14/E16</f>
        <v>70.774504480533906</v>
      </c>
      <c r="F27" s="147">
        <f>F14/F16</f>
        <v>167.72274245183485</v>
      </c>
      <c r="G27" s="161" t="s">
        <v>93</v>
      </c>
      <c r="H27" s="162" t="s">
        <v>93</v>
      </c>
    </row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13">
    <mergeCell ref="A26:A27"/>
    <mergeCell ref="A1:H1"/>
    <mergeCell ref="A6:A25"/>
    <mergeCell ref="A3:A5"/>
    <mergeCell ref="C25:D25"/>
    <mergeCell ref="D14:E14"/>
    <mergeCell ref="F9:G9"/>
    <mergeCell ref="C24:D24"/>
    <mergeCell ref="D7:E7"/>
    <mergeCell ref="D3:E3"/>
    <mergeCell ref="D4:E4"/>
    <mergeCell ref="F3:G3"/>
    <mergeCell ref="F4:G4"/>
  </mergeCells>
  <phoneticPr fontId="21" type="noConversion"/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"/>
  <sheetViews>
    <sheetView zoomScale="90" zoomScaleNormal="90" workbookViewId="0">
      <selection activeCell="L23" sqref="L23"/>
    </sheetView>
  </sheetViews>
  <sheetFormatPr defaultColWidth="12.625" defaultRowHeight="15" customHeight="1"/>
  <cols>
    <col min="1" max="1" width="7.375" bestFit="1" customWidth="1"/>
    <col min="2" max="2" width="32.875" bestFit="1" customWidth="1"/>
    <col min="3" max="3" width="12.5" bestFit="1" customWidth="1"/>
    <col min="4" max="4" width="11" bestFit="1" customWidth="1"/>
    <col min="5" max="7" width="12.5" bestFit="1" customWidth="1"/>
    <col min="8" max="8" width="11" bestFit="1" customWidth="1"/>
    <col min="9" max="19" width="7.625" customWidth="1"/>
  </cols>
  <sheetData>
    <row r="1" spans="1:9" ht="19.5">
      <c r="A1" s="384" t="s">
        <v>262</v>
      </c>
      <c r="B1" s="385"/>
      <c r="C1" s="385"/>
      <c r="D1" s="385"/>
      <c r="E1" s="385"/>
      <c r="F1" s="385"/>
      <c r="G1" s="385"/>
      <c r="H1" s="386"/>
      <c r="I1" s="170"/>
    </row>
    <row r="2" spans="1:9" ht="19.5">
      <c r="A2" s="171" t="s">
        <v>84</v>
      </c>
      <c r="B2" s="129" t="s">
        <v>85</v>
      </c>
      <c r="C2" s="129" t="s">
        <v>157</v>
      </c>
      <c r="D2" s="129" t="s">
        <v>83</v>
      </c>
      <c r="E2" s="129" t="s">
        <v>158</v>
      </c>
      <c r="F2" s="129" t="s">
        <v>143</v>
      </c>
      <c r="G2" s="129" t="s">
        <v>144</v>
      </c>
      <c r="H2" s="142" t="s">
        <v>145</v>
      </c>
      <c r="I2" s="170"/>
    </row>
    <row r="3" spans="1:9" ht="19.5">
      <c r="A3" s="388" t="s">
        <v>159</v>
      </c>
      <c r="B3" s="129" t="s">
        <v>127</v>
      </c>
      <c r="C3" s="129">
        <f>72</f>
        <v>72</v>
      </c>
      <c r="D3" s="129">
        <v>120</v>
      </c>
      <c r="E3" s="131" t="s">
        <v>93</v>
      </c>
      <c r="F3" s="131" t="s">
        <v>93</v>
      </c>
      <c r="G3" s="131" t="s">
        <v>93</v>
      </c>
      <c r="H3" s="172" t="s">
        <v>93</v>
      </c>
      <c r="I3" s="170"/>
    </row>
    <row r="4" spans="1:9" ht="19.5">
      <c r="A4" s="389"/>
      <c r="B4" s="129" t="s">
        <v>160</v>
      </c>
      <c r="C4" s="387">
        <f>C3/D3</f>
        <v>0.6</v>
      </c>
      <c r="D4" s="382"/>
      <c r="E4" s="131" t="s">
        <v>93</v>
      </c>
      <c r="F4" s="131" t="s">
        <v>93</v>
      </c>
      <c r="G4" s="129">
        <v>0.02</v>
      </c>
      <c r="H4" s="172" t="s">
        <v>93</v>
      </c>
      <c r="I4" s="170"/>
    </row>
    <row r="5" spans="1:9" ht="19.5">
      <c r="A5" s="389"/>
      <c r="B5" s="129" t="s">
        <v>128</v>
      </c>
      <c r="C5" s="131" t="s">
        <v>93</v>
      </c>
      <c r="D5" s="383">
        <v>5</v>
      </c>
      <c r="E5" s="382"/>
      <c r="F5" s="129">
        <v>5</v>
      </c>
      <c r="G5" s="129">
        <v>5</v>
      </c>
      <c r="H5" s="172" t="s">
        <v>93</v>
      </c>
      <c r="I5" s="170"/>
    </row>
    <row r="6" spans="1:9" ht="19.5">
      <c r="A6" s="389"/>
      <c r="B6" s="129" t="s">
        <v>96</v>
      </c>
      <c r="C6" s="131" t="s">
        <v>93</v>
      </c>
      <c r="D6" s="383">
        <f>D3*10</f>
        <v>1200</v>
      </c>
      <c r="E6" s="382"/>
      <c r="F6" s="383">
        <f>D3*12.5</f>
        <v>1500</v>
      </c>
      <c r="G6" s="382"/>
      <c r="H6" s="172" t="s">
        <v>93</v>
      </c>
      <c r="I6" s="170"/>
    </row>
    <row r="7" spans="1:9" ht="19.5">
      <c r="A7" s="389"/>
      <c r="B7" s="129" t="s">
        <v>161</v>
      </c>
      <c r="C7" s="131" t="s">
        <v>93</v>
      </c>
      <c r="D7" s="390">
        <f>D6/60/1000</f>
        <v>0.02</v>
      </c>
      <c r="E7" s="382"/>
      <c r="F7" s="390">
        <f>F6/60/1000</f>
        <v>2.5000000000000001E-2</v>
      </c>
      <c r="G7" s="382"/>
      <c r="H7" s="172" t="s">
        <v>93</v>
      </c>
      <c r="I7" s="170"/>
    </row>
    <row r="8" spans="1:9" ht="19.5">
      <c r="A8" s="389"/>
      <c r="B8" s="129" t="s">
        <v>162</v>
      </c>
      <c r="C8" s="131" t="s">
        <v>93</v>
      </c>
      <c r="D8" s="390">
        <f>D6/1000*60</f>
        <v>72</v>
      </c>
      <c r="E8" s="382"/>
      <c r="F8" s="390">
        <f>F6/1000*60</f>
        <v>90</v>
      </c>
      <c r="G8" s="382"/>
      <c r="H8" s="172" t="s">
        <v>93</v>
      </c>
      <c r="I8" s="170"/>
    </row>
    <row r="9" spans="1:9" ht="19.5">
      <c r="A9" s="389"/>
      <c r="B9" s="129" t="s">
        <v>163</v>
      </c>
      <c r="C9" s="131" t="s">
        <v>93</v>
      </c>
      <c r="D9" s="383">
        <v>16</v>
      </c>
      <c r="E9" s="382"/>
      <c r="F9" s="383">
        <v>9</v>
      </c>
      <c r="G9" s="382"/>
      <c r="H9" s="172" t="s">
        <v>93</v>
      </c>
      <c r="I9" s="170"/>
    </row>
    <row r="10" spans="1:9" ht="19.5">
      <c r="A10" s="389"/>
      <c r="B10" s="129" t="s">
        <v>164</v>
      </c>
      <c r="C10" s="131" t="s">
        <v>93</v>
      </c>
      <c r="D10" s="383">
        <v>0</v>
      </c>
      <c r="E10" s="382"/>
      <c r="F10" s="383">
        <v>2.6</v>
      </c>
      <c r="G10" s="382"/>
      <c r="H10" s="172" t="s">
        <v>93</v>
      </c>
      <c r="I10" s="170"/>
    </row>
    <row r="11" spans="1:9" ht="19.5">
      <c r="A11" s="389"/>
      <c r="B11" s="129" t="s">
        <v>165</v>
      </c>
      <c r="C11" s="131" t="s">
        <v>93</v>
      </c>
      <c r="D11" s="391">
        <f>(D9-D10)/D6^2</f>
        <v>1.1111111111111112E-5</v>
      </c>
      <c r="E11" s="382"/>
      <c r="F11" s="391">
        <f>(F9-F10)/F6^2</f>
        <v>2.8444444444444446E-6</v>
      </c>
      <c r="G11" s="382"/>
      <c r="H11" s="172" t="s">
        <v>93</v>
      </c>
      <c r="I11" s="170"/>
    </row>
    <row r="12" spans="1:9" ht="19.5">
      <c r="A12" s="388"/>
      <c r="B12" s="129" t="s">
        <v>99</v>
      </c>
      <c r="C12" s="131" t="s">
        <v>93</v>
      </c>
      <c r="D12" s="383">
        <f>D6/60*4.186*D5</f>
        <v>418.6</v>
      </c>
      <c r="E12" s="382"/>
      <c r="F12" s="383">
        <f>F6/60*4.186*F5</f>
        <v>523.25</v>
      </c>
      <c r="G12" s="382"/>
      <c r="H12" s="172" t="s">
        <v>93</v>
      </c>
      <c r="I12" s="170"/>
    </row>
    <row r="13" spans="1:9" ht="19.5">
      <c r="A13" s="389"/>
      <c r="B13" s="129" t="s">
        <v>138</v>
      </c>
      <c r="C13" s="131" t="s">
        <v>93</v>
      </c>
      <c r="D13" s="387">
        <f>1000*9.81*D9*D7/1000</f>
        <v>3.1392000000000002</v>
      </c>
      <c r="E13" s="382"/>
      <c r="F13" s="387">
        <f>1000*9.81*F9*F7/1000</f>
        <v>2.2072500000000002</v>
      </c>
      <c r="G13" s="382"/>
      <c r="H13" s="172" t="s">
        <v>93</v>
      </c>
      <c r="I13" s="170"/>
    </row>
    <row r="14" spans="1:9" ht="19.5">
      <c r="A14" s="389"/>
      <c r="B14" s="129" t="s">
        <v>166</v>
      </c>
      <c r="C14" s="131" t="s">
        <v>93</v>
      </c>
      <c r="D14" s="383">
        <v>1750</v>
      </c>
      <c r="E14" s="382"/>
      <c r="F14" s="383">
        <v>1750</v>
      </c>
      <c r="G14" s="382"/>
      <c r="H14" s="172" t="s">
        <v>93</v>
      </c>
      <c r="I14" s="170"/>
    </row>
    <row r="15" spans="1:9" ht="19.5">
      <c r="A15" s="389"/>
      <c r="B15" s="129" t="s">
        <v>167</v>
      </c>
      <c r="C15" s="131" t="s">
        <v>93</v>
      </c>
      <c r="D15" s="381">
        <f>D14*(D7^0.5)/D9^0.75</f>
        <v>30.935921676911462</v>
      </c>
      <c r="E15" s="382"/>
      <c r="F15" s="381">
        <f>F14*(F7^0.5)/F9^0.75</f>
        <v>53.250804201891157</v>
      </c>
      <c r="G15" s="382"/>
      <c r="H15" s="172" t="s">
        <v>93</v>
      </c>
      <c r="I15" s="170"/>
    </row>
    <row r="16" spans="1:9" ht="19.5">
      <c r="A16" s="389"/>
      <c r="B16" s="129" t="s">
        <v>153</v>
      </c>
      <c r="C16" s="131" t="s">
        <v>93</v>
      </c>
      <c r="D16" s="394">
        <v>128.46</v>
      </c>
      <c r="E16" s="382"/>
      <c r="F16" s="382"/>
      <c r="G16" s="382"/>
      <c r="H16" s="172" t="s">
        <v>93</v>
      </c>
      <c r="I16" s="170"/>
    </row>
    <row r="17" spans="1:9" ht="19.5">
      <c r="A17" s="389"/>
      <c r="B17" s="129" t="s">
        <v>154</v>
      </c>
      <c r="C17" s="131" t="s">
        <v>93</v>
      </c>
      <c r="D17" s="381">
        <f>88.59*LN(D15)+13.46*LN(D8)-11.48*LN(D15)^2-0.85*LN(D8)^2-0.38*LN(D15)*LN(D8)-D16</f>
        <v>76.801683909409832</v>
      </c>
      <c r="E17" s="382"/>
      <c r="F17" s="381">
        <f>88.59*LN(F15)+13.46*LN(F8)-11.48*LN(F15)^2-0.85*LN(F8)^2-0.38*LN(F15)*LN(F8)-D16</f>
        <v>78.853450036333385</v>
      </c>
      <c r="G17" s="382"/>
      <c r="H17" s="172" t="s">
        <v>93</v>
      </c>
      <c r="I17" s="170"/>
    </row>
    <row r="18" spans="1:9" ht="19.5">
      <c r="A18" s="389"/>
      <c r="B18" s="129" t="s">
        <v>155</v>
      </c>
      <c r="C18" s="131" t="s">
        <v>93</v>
      </c>
      <c r="D18" s="381">
        <f>D13/(D17/100)</f>
        <v>4.0874103798333277</v>
      </c>
      <c r="E18" s="382"/>
      <c r="F18" s="381">
        <f>F13/(F17/100)</f>
        <v>2.7991799965416395</v>
      </c>
      <c r="G18" s="382"/>
      <c r="H18" s="172" t="s">
        <v>93</v>
      </c>
      <c r="I18" s="170"/>
    </row>
    <row r="19" spans="1:9" ht="19.5">
      <c r="A19" s="389"/>
      <c r="B19" s="129" t="s">
        <v>156</v>
      </c>
      <c r="C19" s="131" t="s">
        <v>93</v>
      </c>
      <c r="D19" s="393">
        <v>0.91700000000000004</v>
      </c>
      <c r="E19" s="382"/>
      <c r="F19" s="393">
        <v>0.89500000000000002</v>
      </c>
      <c r="G19" s="382"/>
      <c r="H19" s="172" t="s">
        <v>93</v>
      </c>
      <c r="I19" s="170"/>
    </row>
    <row r="20" spans="1:9" ht="19.5">
      <c r="A20" s="389"/>
      <c r="B20" s="129" t="s">
        <v>168</v>
      </c>
      <c r="C20" s="129">
        <f>C3</f>
        <v>72</v>
      </c>
      <c r="D20" s="131" t="s">
        <v>93</v>
      </c>
      <c r="E20" s="132">
        <f>D18/D19</f>
        <v>4.4573722789894523</v>
      </c>
      <c r="F20" s="132">
        <f>F18/F19</f>
        <v>3.1275754151303232</v>
      </c>
      <c r="G20" s="132">
        <f>D3*G4</f>
        <v>2.4</v>
      </c>
      <c r="H20" s="173">
        <f>SUM(C20:G20)</f>
        <v>81.984947694119782</v>
      </c>
      <c r="I20" s="170"/>
    </row>
    <row r="21" spans="1:9" ht="19.5">
      <c r="A21" s="389"/>
      <c r="B21" s="129" t="s">
        <v>271</v>
      </c>
      <c r="C21" s="131" t="s">
        <v>93</v>
      </c>
      <c r="D21" s="133">
        <f>C20/D3</f>
        <v>0.6</v>
      </c>
      <c r="E21" s="133">
        <f>E20/D3</f>
        <v>3.7144768991578772E-2</v>
      </c>
      <c r="F21" s="133">
        <f>F20/D3</f>
        <v>2.6063128459419362E-2</v>
      </c>
      <c r="G21" s="134">
        <f>G20/D3</f>
        <v>0.02</v>
      </c>
      <c r="H21" s="174">
        <f>SUM(D21:G21)</f>
        <v>0.68320789745099819</v>
      </c>
      <c r="I21" s="170"/>
    </row>
    <row r="22" spans="1:9" ht="19.5">
      <c r="A22" s="389"/>
      <c r="B22" s="129" t="s">
        <v>169</v>
      </c>
      <c r="C22" s="131" t="s">
        <v>93</v>
      </c>
      <c r="D22" s="131" t="s">
        <v>93</v>
      </c>
      <c r="E22" s="135">
        <f>E20/D13</f>
        <v>1.4199070715435309</v>
      </c>
      <c r="F22" s="135">
        <f>F20/F13</f>
        <v>1.4169556756734956</v>
      </c>
      <c r="G22" s="136">
        <f>G20/F6</f>
        <v>1.5999999999999999E-3</v>
      </c>
      <c r="H22" s="172" t="s">
        <v>93</v>
      </c>
      <c r="I22" s="170"/>
    </row>
    <row r="23" spans="1:9" ht="19.5">
      <c r="A23" s="389"/>
      <c r="B23" s="129" t="s">
        <v>110</v>
      </c>
      <c r="C23" s="131" t="s">
        <v>93</v>
      </c>
      <c r="D23" s="131" t="s">
        <v>93</v>
      </c>
      <c r="E23" s="129" t="s">
        <v>111</v>
      </c>
      <c r="F23" s="131" t="s">
        <v>93</v>
      </c>
      <c r="G23" s="131" t="s">
        <v>93</v>
      </c>
      <c r="H23" s="172" t="s">
        <v>93</v>
      </c>
      <c r="I23" s="170"/>
    </row>
    <row r="24" spans="1:9" ht="19.5">
      <c r="A24" s="389"/>
      <c r="B24" s="129" t="s">
        <v>112</v>
      </c>
      <c r="C24" s="131" t="s">
        <v>93</v>
      </c>
      <c r="D24" s="131" t="s">
        <v>93</v>
      </c>
      <c r="E24" s="131" t="s">
        <v>93</v>
      </c>
      <c r="F24" s="129" t="s">
        <v>113</v>
      </c>
      <c r="G24" s="131" t="s">
        <v>93</v>
      </c>
      <c r="H24" s="172" t="s">
        <v>93</v>
      </c>
      <c r="I24" s="170"/>
    </row>
    <row r="25" spans="1:9" ht="19.5">
      <c r="A25" s="392" t="s">
        <v>103</v>
      </c>
      <c r="B25" s="138" t="s">
        <v>270</v>
      </c>
      <c r="C25" s="131" t="s">
        <v>93</v>
      </c>
      <c r="D25" s="131" t="s">
        <v>93</v>
      </c>
      <c r="E25" s="137">
        <f>D12/E20</f>
        <v>93.911832756967385</v>
      </c>
      <c r="F25" s="137">
        <f>F12/F20</f>
        <v>167.30212082773923</v>
      </c>
      <c r="G25" s="137">
        <f>F12/G20</f>
        <v>218.02083333333334</v>
      </c>
      <c r="H25" s="172" t="s">
        <v>93</v>
      </c>
      <c r="I25" s="170"/>
    </row>
    <row r="26" spans="1:9" ht="20.25" thickBot="1">
      <c r="A26" s="375"/>
      <c r="B26" s="160" t="s">
        <v>269</v>
      </c>
      <c r="C26" s="161" t="s">
        <v>93</v>
      </c>
      <c r="D26" s="161" t="s">
        <v>93</v>
      </c>
      <c r="E26" s="147">
        <f>D12/D13</f>
        <v>133.34607543323139</v>
      </c>
      <c r="F26" s="147">
        <f>F12/F13</f>
        <v>237.05968965907803</v>
      </c>
      <c r="G26" s="161" t="s">
        <v>93</v>
      </c>
      <c r="H26" s="162" t="s">
        <v>93</v>
      </c>
      <c r="I26" s="170"/>
    </row>
    <row r="27" spans="1:9" ht="16.5" customHeight="1"/>
    <row r="28" spans="1:9" ht="16.5" customHeight="1"/>
    <row r="29" spans="1:9" ht="16.5" customHeight="1"/>
    <row r="30" spans="1:9" ht="16.5" customHeight="1"/>
    <row r="31" spans="1:9" ht="16.5" customHeight="1"/>
    <row r="32" spans="1: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</sheetData>
  <mergeCells count="33">
    <mergeCell ref="A25:A26"/>
    <mergeCell ref="F14:G14"/>
    <mergeCell ref="F13:G13"/>
    <mergeCell ref="A12:A24"/>
    <mergeCell ref="D18:E18"/>
    <mergeCell ref="D19:E19"/>
    <mergeCell ref="F18:G18"/>
    <mergeCell ref="F19:G19"/>
    <mergeCell ref="D16:G16"/>
    <mergeCell ref="D17:E17"/>
    <mergeCell ref="F17:G17"/>
    <mergeCell ref="D13:E13"/>
    <mergeCell ref="F11:G11"/>
    <mergeCell ref="F8:G8"/>
    <mergeCell ref="F12:G12"/>
    <mergeCell ref="D14:E14"/>
    <mergeCell ref="D15:E15"/>
    <mergeCell ref="F15:G15"/>
    <mergeCell ref="D12:E12"/>
    <mergeCell ref="A1:H1"/>
    <mergeCell ref="D9:E9"/>
    <mergeCell ref="F9:G9"/>
    <mergeCell ref="D5:E5"/>
    <mergeCell ref="F10:G10"/>
    <mergeCell ref="D6:E6"/>
    <mergeCell ref="F6:G6"/>
    <mergeCell ref="C4:D4"/>
    <mergeCell ref="A3:A11"/>
    <mergeCell ref="D7:E7"/>
    <mergeCell ref="F7:G7"/>
    <mergeCell ref="D8:E8"/>
    <mergeCell ref="D10:E10"/>
    <mergeCell ref="D11:E11"/>
  </mergeCells>
  <phoneticPr fontId="21" type="noConversion"/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2"/>
  <sheetViews>
    <sheetView topLeftCell="A8" zoomScale="90" zoomScaleNormal="90" workbookViewId="0">
      <selection activeCell="C9" sqref="C9:D9"/>
    </sheetView>
  </sheetViews>
  <sheetFormatPr defaultColWidth="12.625" defaultRowHeight="15" customHeight="1"/>
  <cols>
    <col min="1" max="1" width="28.5" bestFit="1" customWidth="1"/>
    <col min="2" max="2" width="6.75" bestFit="1" customWidth="1"/>
    <col min="3" max="3" width="12.5" customWidth="1"/>
    <col min="4" max="4" width="12" customWidth="1"/>
    <col min="5" max="5" width="11" bestFit="1" customWidth="1"/>
    <col min="6" max="6" width="12.5" bestFit="1" customWidth="1"/>
    <col min="7" max="7" width="11" bestFit="1" customWidth="1"/>
    <col min="8" max="8" width="4.25" customWidth="1"/>
    <col min="9" max="9" width="4.125" customWidth="1"/>
    <col min="10" max="10" width="17.75" bestFit="1" customWidth="1"/>
    <col min="11" max="11" width="13.375" customWidth="1"/>
    <col min="12" max="12" width="10.25" customWidth="1"/>
    <col min="13" max="13" width="11.25" customWidth="1"/>
    <col min="14" max="15" width="12.125" customWidth="1"/>
    <col min="16" max="17" width="7" customWidth="1"/>
  </cols>
  <sheetData>
    <row r="1" spans="1:17" ht="16.5" customHeight="1">
      <c r="A1" s="384" t="s">
        <v>263</v>
      </c>
      <c r="B1" s="385"/>
      <c r="C1" s="385"/>
      <c r="D1" s="385"/>
      <c r="E1" s="385"/>
      <c r="F1" s="385"/>
      <c r="G1" s="386"/>
      <c r="J1" s="405" t="s">
        <v>264</v>
      </c>
      <c r="K1" s="406"/>
      <c r="L1" s="406"/>
      <c r="M1" s="406"/>
      <c r="N1" s="406"/>
      <c r="O1" s="407"/>
    </row>
    <row r="2" spans="1:17" ht="16.5" customHeight="1">
      <c r="A2" s="141" t="s">
        <v>85</v>
      </c>
      <c r="B2" s="129" t="s">
        <v>173</v>
      </c>
      <c r="C2" s="129" t="s">
        <v>260</v>
      </c>
      <c r="D2" s="129" t="s">
        <v>142</v>
      </c>
      <c r="E2" s="129" t="s">
        <v>143</v>
      </c>
      <c r="F2" s="129" t="s">
        <v>144</v>
      </c>
      <c r="G2" s="142" t="s">
        <v>145</v>
      </c>
      <c r="J2" s="201" t="s">
        <v>170</v>
      </c>
      <c r="K2" s="91">
        <v>1</v>
      </c>
      <c r="L2" s="91">
        <v>0.75</v>
      </c>
      <c r="M2" s="91">
        <v>0.5</v>
      </c>
      <c r="N2" s="91">
        <v>0.25</v>
      </c>
      <c r="O2" s="202" t="s">
        <v>171</v>
      </c>
    </row>
    <row r="3" spans="1:17" ht="16.5" customHeight="1">
      <c r="A3" s="141" t="s">
        <v>217</v>
      </c>
      <c r="B3" s="409" t="s">
        <v>106</v>
      </c>
      <c r="C3" s="394">
        <f>'5-全新系統'!D10</f>
        <v>0</v>
      </c>
      <c r="D3" s="399"/>
      <c r="E3" s="408">
        <f>'5-全新系統'!F10</f>
        <v>2.6</v>
      </c>
      <c r="F3" s="399"/>
      <c r="G3" s="143" t="s">
        <v>174</v>
      </c>
      <c r="J3" s="201" t="s">
        <v>172</v>
      </c>
      <c r="K3" s="85">
        <v>2.3E-2</v>
      </c>
      <c r="L3" s="85">
        <v>0.41499999999999998</v>
      </c>
      <c r="M3" s="85">
        <v>0.46100000000000002</v>
      </c>
      <c r="N3" s="85">
        <v>0.10100000000000001</v>
      </c>
      <c r="O3" s="203">
        <f>SUM(K3:N3)</f>
        <v>1</v>
      </c>
      <c r="Q3" s="94"/>
    </row>
    <row r="4" spans="1:17" ht="16.5" customHeight="1" thickBot="1">
      <c r="A4" s="141" t="s">
        <v>220</v>
      </c>
      <c r="B4" s="382"/>
      <c r="C4" s="402">
        <f>'5-全新系統'!D11</f>
        <v>1.1111111111111112E-5</v>
      </c>
      <c r="D4" s="403"/>
      <c r="E4" s="402">
        <f>'5-全新系統'!F11</f>
        <v>2.8444444444444446E-6</v>
      </c>
      <c r="F4" s="399"/>
      <c r="G4" s="143" t="s">
        <v>174</v>
      </c>
      <c r="J4" s="204" t="s">
        <v>102</v>
      </c>
      <c r="K4" s="205">
        <f>G15</f>
        <v>0.68320789745099819</v>
      </c>
      <c r="L4" s="206">
        <f>G27</f>
        <v>0.58228425000000006</v>
      </c>
      <c r="M4" s="206">
        <f>G39</f>
        <v>0.49902445312499999</v>
      </c>
      <c r="N4" s="206">
        <f>G51</f>
        <v>0.54416566994655002</v>
      </c>
      <c r="O4" s="207">
        <f>K3*K4+L3*L4+M3*M4+N3*N4</f>
        <v>0.54237275094659954</v>
      </c>
    </row>
    <row r="5" spans="1:17" ht="16.5" customHeight="1" thickBot="1">
      <c r="A5" s="141" t="s">
        <v>146</v>
      </c>
      <c r="B5" s="382"/>
      <c r="C5" s="139" t="s">
        <v>174</v>
      </c>
      <c r="D5" s="139" t="s">
        <v>174</v>
      </c>
      <c r="E5" s="139" t="s">
        <v>174</v>
      </c>
      <c r="F5" s="140">
        <f>'5-全新系統'!G22</f>
        <v>1.5999999999999999E-3</v>
      </c>
      <c r="G5" s="143" t="s">
        <v>174</v>
      </c>
      <c r="J5" s="90"/>
      <c r="O5" s="90"/>
    </row>
    <row r="6" spans="1:17" ht="16.5" customHeight="1">
      <c r="A6" s="141" t="s">
        <v>127</v>
      </c>
      <c r="B6" s="409">
        <v>1</v>
      </c>
      <c r="C6" s="150">
        <f>'5-全新系統'!C3</f>
        <v>72</v>
      </c>
      <c r="D6" s="151">
        <f>'5-全新系統'!D3</f>
        <v>120</v>
      </c>
      <c r="E6" s="139" t="s">
        <v>174</v>
      </c>
      <c r="F6" s="139" t="s">
        <v>174</v>
      </c>
      <c r="G6" s="143" t="s">
        <v>174</v>
      </c>
      <c r="J6" s="395" t="s">
        <v>265</v>
      </c>
      <c r="K6" s="396"/>
      <c r="L6" s="396"/>
      <c r="M6" s="396"/>
      <c r="N6" s="396"/>
      <c r="O6" s="397"/>
    </row>
    <row r="7" spans="1:17" ht="16.5" customHeight="1">
      <c r="A7" s="141" t="s">
        <v>102</v>
      </c>
      <c r="B7" s="382"/>
      <c r="C7" s="150">
        <f>C6/D6</f>
        <v>0.6</v>
      </c>
      <c r="D7" s="139" t="s">
        <v>174</v>
      </c>
      <c r="E7" s="139" t="s">
        <v>174</v>
      </c>
      <c r="F7" s="139" t="s">
        <v>174</v>
      </c>
      <c r="G7" s="143" t="s">
        <v>174</v>
      </c>
      <c r="J7" s="89" t="s">
        <v>170</v>
      </c>
      <c r="K7" s="91">
        <v>1</v>
      </c>
      <c r="L7" s="91">
        <v>0.75</v>
      </c>
      <c r="M7" s="91">
        <v>0.5</v>
      </c>
      <c r="N7" s="91">
        <v>0.25</v>
      </c>
      <c r="O7" s="92" t="s">
        <v>171</v>
      </c>
    </row>
    <row r="8" spans="1:17" ht="18.75" customHeight="1">
      <c r="A8" s="141" t="s">
        <v>117</v>
      </c>
      <c r="B8" s="382"/>
      <c r="C8" s="139" t="s">
        <v>174</v>
      </c>
      <c r="D8" s="151">
        <f>'5-全新系統'!E22</f>
        <v>1.4199070715435309</v>
      </c>
      <c r="E8" s="151">
        <f>'5-全新系統'!F22</f>
        <v>1.4169556756734956</v>
      </c>
      <c r="F8" s="140">
        <f>'5-全新系統'!G22</f>
        <v>1.5999999999999999E-3</v>
      </c>
      <c r="G8" s="143" t="s">
        <v>174</v>
      </c>
      <c r="J8" s="89" t="s">
        <v>172</v>
      </c>
      <c r="K8" s="85">
        <v>2.3E-2</v>
      </c>
      <c r="L8" s="85">
        <v>0.41499999999999998</v>
      </c>
      <c r="M8" s="85">
        <v>0.46100000000000002</v>
      </c>
      <c r="N8" s="85">
        <v>0.10100000000000001</v>
      </c>
      <c r="O8" s="93">
        <f>SUM(K8:N8)</f>
        <v>1</v>
      </c>
    </row>
    <row r="9" spans="1:17" ht="16.5" customHeight="1" thickBot="1">
      <c r="A9" s="141" t="s">
        <v>175</v>
      </c>
      <c r="B9" s="382"/>
      <c r="C9" s="394">
        <f>'5-全新系統'!D5</f>
        <v>5</v>
      </c>
      <c r="D9" s="399"/>
      <c r="E9" s="151">
        <f>'5-全新系統'!F5</f>
        <v>5</v>
      </c>
      <c r="F9" s="151">
        <f>'5-全新系統'!G5</f>
        <v>5</v>
      </c>
      <c r="G9" s="143" t="s">
        <v>174</v>
      </c>
      <c r="J9" s="95" t="s">
        <v>261</v>
      </c>
      <c r="K9" s="96">
        <f>冰機測試報告!C9</f>
        <v>0.6</v>
      </c>
      <c r="L9" s="75">
        <f>冰機測試報告!D9</f>
        <v>0.5</v>
      </c>
      <c r="M9" s="75">
        <f>冰機測試報告!E9</f>
        <v>0.43333333333333335</v>
      </c>
      <c r="N9" s="75">
        <f>冰機測試報告!F9</f>
        <v>0.5</v>
      </c>
      <c r="O9" s="76">
        <f>K8*K9+L8*L9+M8*M9+N8*N9</f>
        <v>0.47156666666666669</v>
      </c>
    </row>
    <row r="10" spans="1:17" ht="16.5" customHeight="1" thickBot="1">
      <c r="A10" s="141" t="s">
        <v>68</v>
      </c>
      <c r="B10" s="382"/>
      <c r="C10" s="404">
        <f>'5-全新系統'!D6</f>
        <v>1200</v>
      </c>
      <c r="D10" s="399"/>
      <c r="E10" s="404">
        <f>'5-全新系統'!F6</f>
        <v>1500</v>
      </c>
      <c r="F10" s="399"/>
      <c r="G10" s="143" t="s">
        <v>174</v>
      </c>
      <c r="J10" s="90"/>
      <c r="O10" s="90"/>
    </row>
    <row r="11" spans="1:17" ht="16.5" customHeight="1">
      <c r="A11" s="141" t="s">
        <v>176</v>
      </c>
      <c r="B11" s="382"/>
      <c r="C11" s="394">
        <f>'5-全新系統'!D12</f>
        <v>418.6</v>
      </c>
      <c r="D11" s="399"/>
      <c r="E11" s="394">
        <f>'5-全新系統'!F12</f>
        <v>523.25</v>
      </c>
      <c r="F11" s="399"/>
      <c r="G11" s="143" t="s">
        <v>174</v>
      </c>
      <c r="J11" s="395" t="s">
        <v>266</v>
      </c>
      <c r="K11" s="396"/>
      <c r="L11" s="396"/>
      <c r="M11" s="396"/>
      <c r="N11" s="396"/>
      <c r="O11" s="397"/>
    </row>
    <row r="12" spans="1:17" ht="16.5" customHeight="1">
      <c r="A12" s="141" t="s">
        <v>177</v>
      </c>
      <c r="B12" s="382"/>
      <c r="C12" s="394">
        <f>'5-全新系統'!D9</f>
        <v>16</v>
      </c>
      <c r="D12" s="399"/>
      <c r="E12" s="394">
        <f>'5-全新系統'!F9</f>
        <v>9</v>
      </c>
      <c r="F12" s="399"/>
      <c r="G12" s="143" t="s">
        <v>174</v>
      </c>
      <c r="J12" s="89" t="s">
        <v>170</v>
      </c>
      <c r="K12" s="91">
        <v>1</v>
      </c>
      <c r="L12" s="91">
        <v>0.75</v>
      </c>
      <c r="M12" s="91">
        <v>0.5</v>
      </c>
      <c r="N12" s="91">
        <v>0.25</v>
      </c>
      <c r="O12" s="92" t="s">
        <v>171</v>
      </c>
    </row>
    <row r="13" spans="1:17" ht="16.5" customHeight="1">
      <c r="A13" s="141" t="s">
        <v>101</v>
      </c>
      <c r="B13" s="382"/>
      <c r="C13" s="394">
        <f>'5-全新系統'!D13</f>
        <v>3.1392000000000002</v>
      </c>
      <c r="D13" s="399"/>
      <c r="E13" s="398">
        <f>'5-全新系統'!F13</f>
        <v>2.2072500000000002</v>
      </c>
      <c r="F13" s="399"/>
      <c r="G13" s="143" t="s">
        <v>174</v>
      </c>
      <c r="J13" s="89" t="s">
        <v>172</v>
      </c>
      <c r="K13" s="85">
        <v>2.3E-2</v>
      </c>
      <c r="L13" s="85">
        <v>0.41499999999999998</v>
      </c>
      <c r="M13" s="85">
        <v>0.46100000000000002</v>
      </c>
      <c r="N13" s="85">
        <v>0.10100000000000001</v>
      </c>
      <c r="O13" s="93">
        <f>SUM(K13:N13)</f>
        <v>1</v>
      </c>
    </row>
    <row r="14" spans="1:17" ht="16.5" customHeight="1" thickBot="1">
      <c r="A14" s="141" t="s">
        <v>95</v>
      </c>
      <c r="B14" s="382"/>
      <c r="C14" s="151">
        <f>C6</f>
        <v>72</v>
      </c>
      <c r="D14" s="151">
        <f>'5-全新系統'!E20</f>
        <v>4.4573722789894523</v>
      </c>
      <c r="E14" s="152">
        <f>'5-全新系統'!F20</f>
        <v>3.1275754151303232</v>
      </c>
      <c r="F14" s="152">
        <f>'5-全新系統'!G20</f>
        <v>2.4</v>
      </c>
      <c r="G14" s="199">
        <f>SUM(C14:F14)</f>
        <v>81.984947694119782</v>
      </c>
      <c r="J14" s="95" t="s">
        <v>102</v>
      </c>
      <c r="K14" s="96">
        <f>D15</f>
        <v>3.7144768991578772E-2</v>
      </c>
      <c r="L14" s="75">
        <f>D27</f>
        <v>3.3507407407407409E-2</v>
      </c>
      <c r="M14" s="75">
        <f>D39</f>
        <v>2.4269531249999997E-2</v>
      </c>
      <c r="N14" s="75">
        <f>D51</f>
        <v>1.1201895043731779E-2</v>
      </c>
      <c r="O14" s="76">
        <f>K13*K14+L13*L14+M13*M14+N13*N14</f>
        <v>2.7079549066547293E-2</v>
      </c>
    </row>
    <row r="15" spans="1:17" ht="16.5" customHeight="1" thickBot="1">
      <c r="A15" s="141" t="s">
        <v>102</v>
      </c>
      <c r="B15" s="382"/>
      <c r="C15" s="152">
        <f t="shared" ref="C15:D15" si="0">C14/$D$6</f>
        <v>0.6</v>
      </c>
      <c r="D15" s="152">
        <f t="shared" si="0"/>
        <v>3.7144768991578772E-2</v>
      </c>
      <c r="E15" s="154">
        <f>E14/D6</f>
        <v>2.6063128459419362E-2</v>
      </c>
      <c r="F15" s="152">
        <f>F14/D6</f>
        <v>0.02</v>
      </c>
      <c r="G15" s="200">
        <f>G14/D6</f>
        <v>0.68320789745099819</v>
      </c>
    </row>
    <row r="16" spans="1:17" ht="16.5" customHeight="1">
      <c r="A16" s="141" t="s">
        <v>178</v>
      </c>
      <c r="B16" s="382"/>
      <c r="C16" s="139" t="s">
        <v>174</v>
      </c>
      <c r="D16" s="150">
        <f>C11/D14</f>
        <v>93.911832756967385</v>
      </c>
      <c r="E16" s="150">
        <f>E11/E14</f>
        <v>167.30212082773923</v>
      </c>
      <c r="F16" s="150">
        <f>E11/F14</f>
        <v>218.02083333333334</v>
      </c>
      <c r="G16" s="143" t="s">
        <v>174</v>
      </c>
      <c r="J16" s="395" t="s">
        <v>267</v>
      </c>
      <c r="K16" s="396"/>
      <c r="L16" s="396"/>
      <c r="M16" s="396"/>
      <c r="N16" s="396"/>
      <c r="O16" s="397"/>
    </row>
    <row r="17" spans="1:15" ht="16.5" customHeight="1">
      <c r="A17" s="141" t="s">
        <v>179</v>
      </c>
      <c r="B17" s="382"/>
      <c r="C17" s="139" t="s">
        <v>174</v>
      </c>
      <c r="D17" s="150">
        <f>C11/C13</f>
        <v>133.34607543323139</v>
      </c>
      <c r="E17" s="150">
        <f>E11/E13</f>
        <v>237.05968965907803</v>
      </c>
      <c r="F17" s="139" t="s">
        <v>174</v>
      </c>
      <c r="G17" s="143" t="s">
        <v>174</v>
      </c>
      <c r="J17" s="89" t="s">
        <v>170</v>
      </c>
      <c r="K17" s="91">
        <v>1</v>
      </c>
      <c r="L17" s="91">
        <v>0.75</v>
      </c>
      <c r="M17" s="91">
        <v>0.5</v>
      </c>
      <c r="N17" s="91">
        <v>0.25</v>
      </c>
      <c r="O17" s="92" t="s">
        <v>171</v>
      </c>
    </row>
    <row r="18" spans="1:15" ht="16.5" customHeight="1">
      <c r="A18" s="141" t="s">
        <v>85</v>
      </c>
      <c r="B18" s="129" t="s">
        <v>173</v>
      </c>
      <c r="C18" s="149" t="s">
        <v>260</v>
      </c>
      <c r="D18" s="149" t="s">
        <v>142</v>
      </c>
      <c r="E18" s="149" t="s">
        <v>143</v>
      </c>
      <c r="F18" s="149" t="s">
        <v>144</v>
      </c>
      <c r="G18" s="142" t="s">
        <v>145</v>
      </c>
      <c r="J18" s="89" t="s">
        <v>172</v>
      </c>
      <c r="K18" s="85">
        <v>2.3E-2</v>
      </c>
      <c r="L18" s="85">
        <v>0.41499999999999998</v>
      </c>
      <c r="M18" s="85">
        <v>0.46100000000000002</v>
      </c>
      <c r="N18" s="85">
        <v>0.10100000000000001</v>
      </c>
      <c r="O18" s="93">
        <f>SUM(K18:N18)</f>
        <v>1</v>
      </c>
    </row>
    <row r="19" spans="1:15" ht="16.5" customHeight="1" thickBot="1">
      <c r="A19" s="141" t="s">
        <v>175</v>
      </c>
      <c r="B19" s="400">
        <f>75%</f>
        <v>0.75</v>
      </c>
      <c r="C19" s="401">
        <v>4.5</v>
      </c>
      <c r="D19" s="399"/>
      <c r="E19" s="153">
        <v>4.5</v>
      </c>
      <c r="F19" s="153">
        <v>4.5</v>
      </c>
      <c r="G19" s="143" t="s">
        <v>174</v>
      </c>
      <c r="J19" s="95" t="s">
        <v>102</v>
      </c>
      <c r="K19" s="96">
        <f>E15</f>
        <v>2.6063128459419362E-2</v>
      </c>
      <c r="L19" s="75">
        <f>E27</f>
        <v>2.6554620370370371E-2</v>
      </c>
      <c r="M19" s="75">
        <f>E39</f>
        <v>2.4754921874999999E-2</v>
      </c>
      <c r="N19" s="75">
        <f>E51</f>
        <v>2.3439965379008741E-2</v>
      </c>
      <c r="O19" s="76">
        <f>K18*K19+L18*L19+M18*M19+N18*N19</f>
        <v>2.539907489592523E-2</v>
      </c>
    </row>
    <row r="20" spans="1:15" ht="16.5" customHeight="1" thickBot="1">
      <c r="A20" s="141" t="s">
        <v>257</v>
      </c>
      <c r="B20" s="382"/>
      <c r="C20" s="394">
        <f>D6*B19</f>
        <v>90</v>
      </c>
      <c r="D20" s="399"/>
      <c r="E20" s="139" t="s">
        <v>174</v>
      </c>
      <c r="F20" s="139" t="s">
        <v>174</v>
      </c>
      <c r="G20" s="143" t="s">
        <v>174</v>
      </c>
    </row>
    <row r="21" spans="1:15" ht="16.5" customHeight="1">
      <c r="A21" s="141" t="s">
        <v>96</v>
      </c>
      <c r="B21" s="382"/>
      <c r="C21" s="394">
        <f>C20*10/C19*5</f>
        <v>1000</v>
      </c>
      <c r="D21" s="399"/>
      <c r="E21" s="394">
        <f>C20*12.5*5/E19</f>
        <v>1250</v>
      </c>
      <c r="F21" s="399"/>
      <c r="G21" s="143" t="s">
        <v>174</v>
      </c>
      <c r="J21" s="395" t="s">
        <v>268</v>
      </c>
      <c r="K21" s="396"/>
      <c r="L21" s="396"/>
      <c r="M21" s="396"/>
      <c r="N21" s="396"/>
      <c r="O21" s="397"/>
    </row>
    <row r="22" spans="1:15" ht="16.5" customHeight="1">
      <c r="A22" s="141" t="s">
        <v>256</v>
      </c>
      <c r="B22" s="382"/>
      <c r="C22" s="394">
        <f>C21*4.186*C19/60</f>
        <v>313.95</v>
      </c>
      <c r="D22" s="399"/>
      <c r="E22" s="394">
        <f>E21*4.186*E19/60</f>
        <v>392.4375</v>
      </c>
      <c r="F22" s="399"/>
      <c r="G22" s="143" t="s">
        <v>174</v>
      </c>
      <c r="J22" s="89" t="s">
        <v>170</v>
      </c>
      <c r="K22" s="91">
        <v>1</v>
      </c>
      <c r="L22" s="91">
        <v>0.75</v>
      </c>
      <c r="M22" s="91">
        <v>0.5</v>
      </c>
      <c r="N22" s="91">
        <v>0.25</v>
      </c>
      <c r="O22" s="92" t="s">
        <v>171</v>
      </c>
    </row>
    <row r="23" spans="1:15" ht="16.5" customHeight="1">
      <c r="A23" s="141" t="s">
        <v>177</v>
      </c>
      <c r="B23" s="382"/>
      <c r="C23" s="394">
        <f>C3+C4*C21^2</f>
        <v>11.111111111111112</v>
      </c>
      <c r="D23" s="399"/>
      <c r="E23" s="394">
        <f>E3+E4*E21^2</f>
        <v>7.0444444444444443</v>
      </c>
      <c r="F23" s="399"/>
      <c r="G23" s="143" t="s">
        <v>174</v>
      </c>
      <c r="J23" s="89" t="s">
        <v>172</v>
      </c>
      <c r="K23" s="85">
        <v>2.3E-2</v>
      </c>
      <c r="L23" s="85">
        <v>0.41499999999999998</v>
      </c>
      <c r="M23" s="85">
        <v>0.46100000000000002</v>
      </c>
      <c r="N23" s="85">
        <v>0.10100000000000001</v>
      </c>
      <c r="O23" s="93">
        <f>SUM(K23:N23)</f>
        <v>1</v>
      </c>
    </row>
    <row r="24" spans="1:15" ht="20.25" thickBot="1">
      <c r="A24" s="141" t="s">
        <v>101</v>
      </c>
      <c r="B24" s="382"/>
      <c r="C24" s="394">
        <f>1000*9.81*C23*(C21/60/1000)/1000</f>
        <v>1.8166666666666669</v>
      </c>
      <c r="D24" s="399"/>
      <c r="E24" s="398">
        <f>1000*9.81*E23*(E21/60/1000)/1000</f>
        <v>1.4397083333333334</v>
      </c>
      <c r="F24" s="399"/>
      <c r="G24" s="143" t="s">
        <v>174</v>
      </c>
      <c r="J24" s="95" t="s">
        <v>102</v>
      </c>
      <c r="K24" s="96">
        <f>F15</f>
        <v>0.02</v>
      </c>
      <c r="L24" s="75">
        <f>F27</f>
        <v>2.222222222222222E-2</v>
      </c>
      <c r="M24" s="75">
        <f>F39</f>
        <v>1.6666666666666663E-2</v>
      </c>
      <c r="N24" s="75">
        <f>F51</f>
        <v>9.5238095238095212E-3</v>
      </c>
      <c r="O24" s="76">
        <f>K23*K24+L23*L24+M23*M24+N23*N24</f>
        <v>1.8327460317460312E-2</v>
      </c>
    </row>
    <row r="25" spans="1:15" ht="16.5" customHeight="1">
      <c r="A25" s="141" t="s">
        <v>117</v>
      </c>
      <c r="B25" s="382"/>
      <c r="C25" s="139" t="s">
        <v>174</v>
      </c>
      <c r="D25" s="151">
        <f>冰水泵耗電比測試報告!F5</f>
        <v>1.66</v>
      </c>
      <c r="E25" s="152">
        <v>1.66</v>
      </c>
      <c r="F25" s="140">
        <f>F5</f>
        <v>1.5999999999999999E-3</v>
      </c>
      <c r="G25" s="143" t="s">
        <v>174</v>
      </c>
      <c r="J25" s="90"/>
      <c r="O25" s="90"/>
    </row>
    <row r="26" spans="1:15" ht="16.5" customHeight="1">
      <c r="A26" s="141" t="s">
        <v>95</v>
      </c>
      <c r="B26" s="382"/>
      <c r="C26" s="151">
        <f>冰機測試報告!D8</f>
        <v>45</v>
      </c>
      <c r="D26" s="152">
        <f>D25*C24</f>
        <v>3.0156666666666667</v>
      </c>
      <c r="E26" s="152">
        <f>E25*E24</f>
        <v>2.3899158333333332</v>
      </c>
      <c r="F26" s="152">
        <f>F25*E21</f>
        <v>1.9999999999999998</v>
      </c>
      <c r="G26" s="199">
        <f>SUMIF(C26:F26,"&gt;= 0")</f>
        <v>52.405582500000001</v>
      </c>
      <c r="J26" s="90"/>
      <c r="O26" s="90"/>
    </row>
    <row r="27" spans="1:15" ht="16.5" customHeight="1">
      <c r="A27" s="141" t="s">
        <v>102</v>
      </c>
      <c r="B27" s="382"/>
      <c r="C27" s="152">
        <f>C26/C20</f>
        <v>0.5</v>
      </c>
      <c r="D27" s="154">
        <f t="shared" ref="D27" si="1">D26/$C$20</f>
        <v>3.3507407407407409E-2</v>
      </c>
      <c r="E27" s="154">
        <f t="shared" ref="E27:G27" si="2">E26/$C$20</f>
        <v>2.6554620370370371E-2</v>
      </c>
      <c r="F27" s="154">
        <f t="shared" si="2"/>
        <v>2.222222222222222E-2</v>
      </c>
      <c r="G27" s="200">
        <f t="shared" si="2"/>
        <v>0.58228425000000006</v>
      </c>
      <c r="J27" s="90"/>
      <c r="O27" s="90"/>
    </row>
    <row r="28" spans="1:15" ht="16.5" customHeight="1">
      <c r="A28" s="141" t="s">
        <v>178</v>
      </c>
      <c r="B28" s="382"/>
      <c r="C28" s="139" t="s">
        <v>174</v>
      </c>
      <c r="D28" s="151">
        <f>C22/D26</f>
        <v>104.10633359124571</v>
      </c>
      <c r="E28" s="151">
        <f>E22/E26</f>
        <v>164.20557348776927</v>
      </c>
      <c r="F28" s="139" t="s">
        <v>174</v>
      </c>
      <c r="G28" s="143" t="s">
        <v>174</v>
      </c>
      <c r="J28" s="90"/>
      <c r="O28" s="90"/>
    </row>
    <row r="29" spans="1:15" ht="16.5" customHeight="1">
      <c r="A29" s="141" t="s">
        <v>179</v>
      </c>
      <c r="B29" s="130"/>
      <c r="C29" s="139" t="s">
        <v>174</v>
      </c>
      <c r="D29" s="151">
        <f t="shared" ref="D29" si="3">C22/C24</f>
        <v>172.81651376146786</v>
      </c>
      <c r="E29" s="151">
        <f>E22/E24</f>
        <v>272.58125198969697</v>
      </c>
      <c r="F29" s="139" t="s">
        <v>174</v>
      </c>
      <c r="G29" s="143" t="s">
        <v>174</v>
      </c>
      <c r="J29" s="90"/>
      <c r="O29" s="90"/>
    </row>
    <row r="30" spans="1:15" ht="16.5" customHeight="1">
      <c r="A30" s="141" t="s">
        <v>85</v>
      </c>
      <c r="B30" s="129" t="s">
        <v>173</v>
      </c>
      <c r="C30" s="149" t="s">
        <v>260</v>
      </c>
      <c r="D30" s="149" t="s">
        <v>142</v>
      </c>
      <c r="E30" s="149" t="s">
        <v>143</v>
      </c>
      <c r="F30" s="149" t="s">
        <v>144</v>
      </c>
      <c r="G30" s="142" t="s">
        <v>145</v>
      </c>
      <c r="J30" s="90"/>
      <c r="O30" s="90"/>
    </row>
    <row r="31" spans="1:15" ht="16.5" customHeight="1">
      <c r="A31" s="141" t="s">
        <v>175</v>
      </c>
      <c r="B31" s="400">
        <v>0.5</v>
      </c>
      <c r="C31" s="401">
        <v>4</v>
      </c>
      <c r="D31" s="399"/>
      <c r="E31" s="153">
        <v>4</v>
      </c>
      <c r="F31" s="153">
        <v>4</v>
      </c>
      <c r="G31" s="143" t="s">
        <v>174</v>
      </c>
      <c r="J31" s="90"/>
      <c r="O31" s="90"/>
    </row>
    <row r="32" spans="1:15" ht="16.5" customHeight="1">
      <c r="A32" s="141" t="s">
        <v>100</v>
      </c>
      <c r="B32" s="382"/>
      <c r="C32" s="394">
        <f>B31*$D$6</f>
        <v>60</v>
      </c>
      <c r="D32" s="399"/>
      <c r="E32" s="139" t="s">
        <v>174</v>
      </c>
      <c r="F32" s="139" t="s">
        <v>174</v>
      </c>
      <c r="G32" s="143" t="s">
        <v>174</v>
      </c>
      <c r="J32" s="90"/>
      <c r="O32" s="90"/>
    </row>
    <row r="33" spans="1:15" ht="16.5" customHeight="1">
      <c r="A33" s="141" t="s">
        <v>96</v>
      </c>
      <c r="B33" s="382"/>
      <c r="C33" s="394">
        <f>C32*10/C31*5</f>
        <v>750</v>
      </c>
      <c r="D33" s="399"/>
      <c r="E33" s="394">
        <f>C32*12.5*5/E31</f>
        <v>937.5</v>
      </c>
      <c r="F33" s="399"/>
      <c r="G33" s="143" t="s">
        <v>174</v>
      </c>
      <c r="J33" s="90"/>
      <c r="O33" s="90"/>
    </row>
    <row r="34" spans="1:15" ht="16.5" customHeight="1">
      <c r="A34" s="141" t="s">
        <v>258</v>
      </c>
      <c r="B34" s="382"/>
      <c r="C34" s="394">
        <f>C33*4.186*C31/60</f>
        <v>209.3</v>
      </c>
      <c r="D34" s="399"/>
      <c r="E34" s="394">
        <f>E33*4.186*E31/60</f>
        <v>261.625</v>
      </c>
      <c r="F34" s="399"/>
      <c r="G34" s="143" t="s">
        <v>174</v>
      </c>
      <c r="J34" s="90"/>
      <c r="O34" s="90"/>
    </row>
    <row r="35" spans="1:15" ht="16.5" customHeight="1">
      <c r="A35" s="141" t="s">
        <v>177</v>
      </c>
      <c r="B35" s="382"/>
      <c r="C35" s="394">
        <f>$C$3+$C$4*C33^2</f>
        <v>6.25</v>
      </c>
      <c r="D35" s="399"/>
      <c r="E35" s="394">
        <f>$E$3+$E$4*E33^2</f>
        <v>5.0999999999999996</v>
      </c>
      <c r="F35" s="399"/>
      <c r="G35" s="143" t="s">
        <v>174</v>
      </c>
      <c r="J35" s="90"/>
      <c r="O35" s="90"/>
    </row>
    <row r="36" spans="1:15" ht="16.5" customHeight="1">
      <c r="A36" s="141" t="s">
        <v>101</v>
      </c>
      <c r="B36" s="382"/>
      <c r="C36" s="394">
        <f>1000*9.81*C35*(C33/60/1000)/1000</f>
        <v>0.76640624999999996</v>
      </c>
      <c r="D36" s="399"/>
      <c r="E36" s="398">
        <f>1000*9.81*E35*(E33/60/1000)/1000</f>
        <v>0.78173437499999998</v>
      </c>
      <c r="F36" s="399"/>
      <c r="G36" s="143" t="s">
        <v>174</v>
      </c>
      <c r="J36" s="90"/>
      <c r="O36" s="90"/>
    </row>
    <row r="37" spans="1:15" ht="16.5" customHeight="1">
      <c r="A37" s="141" t="s">
        <v>117</v>
      </c>
      <c r="B37" s="382"/>
      <c r="C37" s="139" t="s">
        <v>174</v>
      </c>
      <c r="D37" s="151">
        <f>冰水泵耗電比測試報告!F7</f>
        <v>1.9</v>
      </c>
      <c r="E37" s="152">
        <f>冷卻水泵耗電比測試報告!F7</f>
        <v>1.9</v>
      </c>
      <c r="F37" s="140">
        <f>F5</f>
        <v>1.5999999999999999E-3</v>
      </c>
      <c r="G37" s="143"/>
      <c r="J37" s="90"/>
      <c r="O37" s="90"/>
    </row>
    <row r="38" spans="1:15" ht="16.5" customHeight="1">
      <c r="A38" s="141" t="s">
        <v>95</v>
      </c>
      <c r="B38" s="382"/>
      <c r="C38" s="151">
        <f>冰機測試報告!E8</f>
        <v>26</v>
      </c>
      <c r="D38" s="152">
        <f>D37*C36</f>
        <v>1.4561718749999999</v>
      </c>
      <c r="E38" s="152">
        <f>E37*E36</f>
        <v>1.4852953124999999</v>
      </c>
      <c r="F38" s="152">
        <f>F37*E33</f>
        <v>1.4999999999999998</v>
      </c>
      <c r="G38" s="199">
        <f>SUMIF(C38:F38,"&gt;= 0")</f>
        <v>30.441467187499999</v>
      </c>
      <c r="J38" s="90"/>
      <c r="O38" s="90"/>
    </row>
    <row r="39" spans="1:15" ht="16.5" customHeight="1">
      <c r="A39" s="141" t="s">
        <v>102</v>
      </c>
      <c r="B39" s="382"/>
      <c r="C39" s="152">
        <f>C38/C32</f>
        <v>0.43333333333333335</v>
      </c>
      <c r="D39" s="154">
        <f>D38/C32</f>
        <v>2.4269531249999997E-2</v>
      </c>
      <c r="E39" s="154">
        <f>E38/C32</f>
        <v>2.4754921874999999E-2</v>
      </c>
      <c r="F39" s="154">
        <f>F38/$C$20</f>
        <v>1.6666666666666663E-2</v>
      </c>
      <c r="G39" s="199">
        <f>SUMIF(C39:F39,"&gt;= 0")</f>
        <v>0.49902445312499999</v>
      </c>
      <c r="J39" s="90"/>
      <c r="O39" s="90"/>
    </row>
    <row r="40" spans="1:15" ht="16.5" customHeight="1">
      <c r="A40" s="141" t="s">
        <v>178</v>
      </c>
      <c r="B40" s="382"/>
      <c r="C40" s="139" t="s">
        <v>174</v>
      </c>
      <c r="D40" s="151">
        <f>C34/D38</f>
        <v>143.73303288803049</v>
      </c>
      <c r="E40" s="151">
        <f>E34/E38</f>
        <v>176.1434226569001</v>
      </c>
      <c r="F40" s="139" t="s">
        <v>174</v>
      </c>
      <c r="G40" s="143" t="s">
        <v>174</v>
      </c>
      <c r="J40" s="90"/>
      <c r="O40" s="90"/>
    </row>
    <row r="41" spans="1:15" ht="16.5" customHeight="1">
      <c r="A41" s="141" t="s">
        <v>179</v>
      </c>
      <c r="B41" s="130"/>
      <c r="C41" s="139" t="s">
        <v>174</v>
      </c>
      <c r="D41" s="151">
        <f>C34/C36</f>
        <v>273.09276248725791</v>
      </c>
      <c r="E41" s="151">
        <f>E34/E36</f>
        <v>334.67250304811017</v>
      </c>
      <c r="F41" s="139" t="s">
        <v>174</v>
      </c>
      <c r="G41" s="143" t="s">
        <v>174</v>
      </c>
      <c r="J41" s="90"/>
      <c r="O41" s="90"/>
    </row>
    <row r="42" spans="1:15" ht="16.5" customHeight="1">
      <c r="A42" s="141" t="s">
        <v>85</v>
      </c>
      <c r="B42" s="129" t="s">
        <v>173</v>
      </c>
      <c r="C42" s="149" t="s">
        <v>260</v>
      </c>
      <c r="D42" s="149" t="s">
        <v>142</v>
      </c>
      <c r="E42" s="149" t="s">
        <v>143</v>
      </c>
      <c r="F42" s="149" t="s">
        <v>144</v>
      </c>
      <c r="G42" s="142" t="s">
        <v>145</v>
      </c>
      <c r="J42" s="90"/>
      <c r="O42" s="90"/>
    </row>
    <row r="43" spans="1:15" ht="16.5" customHeight="1">
      <c r="A43" s="141" t="s">
        <v>175</v>
      </c>
      <c r="B43" s="400">
        <v>0.25</v>
      </c>
      <c r="C43" s="401">
        <v>3.5</v>
      </c>
      <c r="D43" s="399"/>
      <c r="E43" s="153">
        <v>3.5</v>
      </c>
      <c r="F43" s="153">
        <v>3.5</v>
      </c>
      <c r="G43" s="143" t="s">
        <v>174</v>
      </c>
      <c r="J43" s="90"/>
      <c r="O43" s="90"/>
    </row>
    <row r="44" spans="1:15" ht="16.5" customHeight="1">
      <c r="A44" s="141" t="s">
        <v>100</v>
      </c>
      <c r="B44" s="382"/>
      <c r="C44" s="394">
        <f>B43*$D$6</f>
        <v>30</v>
      </c>
      <c r="D44" s="399"/>
      <c r="E44" s="139" t="s">
        <v>174</v>
      </c>
      <c r="F44" s="139" t="s">
        <v>174</v>
      </c>
      <c r="G44" s="143" t="s">
        <v>174</v>
      </c>
      <c r="J44" s="90"/>
      <c r="O44" s="90"/>
    </row>
    <row r="45" spans="1:15" ht="16.5" customHeight="1">
      <c r="A45" s="141" t="s">
        <v>96</v>
      </c>
      <c r="B45" s="382"/>
      <c r="C45" s="394">
        <f>C44*10/C43*5</f>
        <v>428.57142857142856</v>
      </c>
      <c r="D45" s="399"/>
      <c r="E45" s="394">
        <f>C44*12.5*5/E43</f>
        <v>535.71428571428567</v>
      </c>
      <c r="F45" s="399"/>
      <c r="G45" s="143" t="s">
        <v>174</v>
      </c>
      <c r="J45" s="90"/>
      <c r="O45" s="90"/>
    </row>
    <row r="46" spans="1:15" ht="16.5" customHeight="1">
      <c r="A46" s="141" t="s">
        <v>259</v>
      </c>
      <c r="B46" s="382"/>
      <c r="C46" s="394">
        <f>C45*4.186*C43/60</f>
        <v>104.65</v>
      </c>
      <c r="D46" s="399"/>
      <c r="E46" s="394">
        <f>E45*4.186*E43/60</f>
        <v>130.81249999999997</v>
      </c>
      <c r="F46" s="399"/>
      <c r="G46" s="143" t="s">
        <v>174</v>
      </c>
      <c r="J46" s="90"/>
      <c r="O46" s="90"/>
    </row>
    <row r="47" spans="1:15" ht="16.5" customHeight="1">
      <c r="A47" s="141" t="s">
        <v>177</v>
      </c>
      <c r="B47" s="382"/>
      <c r="C47" s="394">
        <f>$C$3+$C$4*C45^2</f>
        <v>2.0408163265306123</v>
      </c>
      <c r="D47" s="399"/>
      <c r="E47" s="394">
        <f>$E$3+$E$4*E45^2</f>
        <v>3.416326530612245</v>
      </c>
      <c r="F47" s="399"/>
      <c r="G47" s="143" t="s">
        <v>174</v>
      </c>
      <c r="J47" s="90"/>
      <c r="O47" s="90"/>
    </row>
    <row r="48" spans="1:15" ht="16.5" customHeight="1">
      <c r="A48" s="141" t="s">
        <v>101</v>
      </c>
      <c r="B48" s="382"/>
      <c r="C48" s="394">
        <f>1000*9.81*C47*(C45/60/1000)/1000</f>
        <v>0.14300291545189503</v>
      </c>
      <c r="D48" s="399"/>
      <c r="E48" s="398">
        <f>1000*9.81*E47*(E45/60/1000)/1000</f>
        <v>0.29923360058309034</v>
      </c>
      <c r="F48" s="399"/>
      <c r="G48" s="143" t="s">
        <v>174</v>
      </c>
      <c r="J48" s="90"/>
      <c r="O48" s="90"/>
    </row>
    <row r="49" spans="1:15" ht="16.5" customHeight="1">
      <c r="A49" s="141" t="s">
        <v>117</v>
      </c>
      <c r="B49" s="382"/>
      <c r="C49" s="151"/>
      <c r="D49" s="151">
        <f>冰水泵耗電比測試報告!F9</f>
        <v>2.35</v>
      </c>
      <c r="E49" s="152">
        <f>冷卻水泵耗電比測試報告!F9</f>
        <v>2.35</v>
      </c>
      <c r="F49" s="140">
        <f>F5</f>
        <v>1.5999999999999999E-3</v>
      </c>
      <c r="G49" s="143"/>
      <c r="J49" s="90"/>
      <c r="O49" s="90"/>
    </row>
    <row r="50" spans="1:15" ht="16.5" customHeight="1">
      <c r="A50" s="141" t="s">
        <v>95</v>
      </c>
      <c r="B50" s="382"/>
      <c r="C50" s="151">
        <f>冰機測試報告!F8</f>
        <v>15</v>
      </c>
      <c r="D50" s="152">
        <f>D49*C48</f>
        <v>0.33605685131195334</v>
      </c>
      <c r="E50" s="152">
        <f>E49*E48</f>
        <v>0.70319896137026228</v>
      </c>
      <c r="F50" s="152">
        <f>F49*E45</f>
        <v>0.85714285714285698</v>
      </c>
      <c r="G50" s="199">
        <f t="shared" ref="G50:G51" si="4">SUMIF(C50:F50,"&gt;= 0")</f>
        <v>16.896398669825075</v>
      </c>
      <c r="J50" s="90"/>
      <c r="O50" s="90"/>
    </row>
    <row r="51" spans="1:15" ht="16.5" customHeight="1">
      <c r="A51" s="141" t="s">
        <v>102</v>
      </c>
      <c r="B51" s="382"/>
      <c r="C51" s="152">
        <f>C50/C44</f>
        <v>0.5</v>
      </c>
      <c r="D51" s="154">
        <f>D50/C44</f>
        <v>1.1201895043731779E-2</v>
      </c>
      <c r="E51" s="154">
        <f>E50/C44</f>
        <v>2.3439965379008741E-2</v>
      </c>
      <c r="F51" s="154">
        <f>F50/$C$20</f>
        <v>9.5238095238095212E-3</v>
      </c>
      <c r="G51" s="199">
        <f t="shared" si="4"/>
        <v>0.54416566994655002</v>
      </c>
      <c r="J51" s="90"/>
      <c r="O51" s="90"/>
    </row>
    <row r="52" spans="1:15" ht="16.5" customHeight="1">
      <c r="A52" s="141" t="s">
        <v>178</v>
      </c>
      <c r="B52" s="382"/>
      <c r="C52" s="139" t="s">
        <v>174</v>
      </c>
      <c r="D52" s="151">
        <f>C46/D50</f>
        <v>311.40564339471234</v>
      </c>
      <c r="E52" s="151">
        <f>E46/E50</f>
        <v>186.02487657987592</v>
      </c>
      <c r="F52" s="139" t="s">
        <v>174</v>
      </c>
      <c r="G52" s="143" t="s">
        <v>174</v>
      </c>
      <c r="J52" s="90"/>
      <c r="O52" s="90"/>
    </row>
    <row r="53" spans="1:15" ht="16.5" customHeight="1" thickBot="1">
      <c r="A53" s="144" t="s">
        <v>179</v>
      </c>
      <c r="B53" s="145"/>
      <c r="C53" s="146" t="s">
        <v>174</v>
      </c>
      <c r="D53" s="147">
        <f>C46/C48</f>
        <v>731.80326197757404</v>
      </c>
      <c r="E53" s="147">
        <f>E46/E48</f>
        <v>437.15845996270838</v>
      </c>
      <c r="F53" s="146" t="s">
        <v>174</v>
      </c>
      <c r="G53" s="148" t="s">
        <v>174</v>
      </c>
      <c r="J53" s="90"/>
      <c r="O53" s="90"/>
    </row>
    <row r="54" spans="1:15" ht="16.5" customHeight="1">
      <c r="J54" s="90"/>
      <c r="O54" s="90"/>
    </row>
    <row r="55" spans="1:15" ht="16.5" customHeight="1">
      <c r="J55" s="90"/>
      <c r="O55" s="90"/>
    </row>
    <row r="56" spans="1:15" ht="16.5" customHeight="1">
      <c r="J56" s="90"/>
      <c r="O56" s="90"/>
    </row>
    <row r="57" spans="1:15" ht="16.5" customHeight="1">
      <c r="J57" s="90"/>
      <c r="O57" s="90"/>
    </row>
    <row r="58" spans="1:15" ht="16.5" customHeight="1">
      <c r="J58" s="90"/>
      <c r="O58" s="90"/>
    </row>
    <row r="59" spans="1:15" ht="16.5" customHeight="1">
      <c r="J59" s="90"/>
      <c r="O59" s="90"/>
    </row>
    <row r="60" spans="1:15" ht="16.5" customHeight="1">
      <c r="J60" s="90"/>
      <c r="O60" s="90"/>
    </row>
    <row r="61" spans="1:15" ht="16.5" customHeight="1">
      <c r="J61" s="90"/>
      <c r="O61" s="90"/>
    </row>
    <row r="62" spans="1:15" ht="16.5" customHeight="1">
      <c r="J62" s="90"/>
      <c r="O62" s="90"/>
    </row>
    <row r="63" spans="1:15" ht="16.5" customHeight="1">
      <c r="J63" s="90"/>
      <c r="O63" s="90"/>
    </row>
    <row r="64" spans="1:15" ht="16.5" customHeight="1">
      <c r="J64" s="90"/>
      <c r="O64" s="90"/>
    </row>
    <row r="65" spans="10:15" ht="16.5" customHeight="1">
      <c r="J65" s="90"/>
      <c r="O65" s="90"/>
    </row>
    <row r="66" spans="10:15" ht="16.5" customHeight="1">
      <c r="J66" s="90"/>
      <c r="O66" s="90"/>
    </row>
    <row r="67" spans="10:15" ht="16.5" customHeight="1">
      <c r="J67" s="90"/>
      <c r="O67" s="90"/>
    </row>
    <row r="68" spans="10:15" ht="16.5" customHeight="1">
      <c r="J68" s="90"/>
      <c r="O68" s="90"/>
    </row>
    <row r="69" spans="10:15" ht="16.5" customHeight="1">
      <c r="J69" s="90"/>
      <c r="O69" s="90"/>
    </row>
    <row r="70" spans="10:15" ht="16.5" customHeight="1">
      <c r="J70" s="90"/>
      <c r="O70" s="90"/>
    </row>
    <row r="71" spans="10:15" ht="16.5" customHeight="1">
      <c r="J71" s="90"/>
      <c r="O71" s="90"/>
    </row>
    <row r="72" spans="10:15" ht="16.5" customHeight="1">
      <c r="J72" s="90"/>
      <c r="O72" s="90"/>
    </row>
    <row r="73" spans="10:15" ht="16.5" customHeight="1">
      <c r="J73" s="90"/>
      <c r="O73" s="90"/>
    </row>
    <row r="74" spans="10:15" ht="16.5" customHeight="1">
      <c r="J74" s="90"/>
      <c r="O74" s="90"/>
    </row>
    <row r="75" spans="10:15" ht="16.5" customHeight="1">
      <c r="J75" s="90"/>
      <c r="O75" s="90"/>
    </row>
    <row r="76" spans="10:15" ht="16.5" customHeight="1">
      <c r="J76" s="90"/>
      <c r="O76" s="90"/>
    </row>
    <row r="77" spans="10:15" ht="16.5" customHeight="1">
      <c r="J77" s="90"/>
      <c r="O77" s="90"/>
    </row>
    <row r="78" spans="10:15" ht="16.5" customHeight="1">
      <c r="J78" s="90"/>
      <c r="O78" s="90"/>
    </row>
    <row r="79" spans="10:15" ht="16.5" customHeight="1">
      <c r="J79" s="90"/>
      <c r="O79" s="90"/>
    </row>
    <row r="80" spans="10:15" ht="16.5" customHeight="1">
      <c r="J80" s="90"/>
      <c r="O80" s="90"/>
    </row>
    <row r="81" spans="10:15" ht="16.5" customHeight="1">
      <c r="J81" s="90"/>
      <c r="O81" s="90"/>
    </row>
    <row r="82" spans="10:15" ht="16.5" customHeight="1">
      <c r="J82" s="90"/>
      <c r="O82" s="90"/>
    </row>
    <row r="83" spans="10:15" ht="16.5" customHeight="1">
      <c r="J83" s="90"/>
      <c r="O83" s="90"/>
    </row>
    <row r="84" spans="10:15" ht="16.5" customHeight="1">
      <c r="J84" s="90"/>
      <c r="O84" s="90"/>
    </row>
    <row r="85" spans="10:15" ht="16.5" customHeight="1">
      <c r="J85" s="90"/>
      <c r="O85" s="90"/>
    </row>
    <row r="86" spans="10:15" ht="16.5" customHeight="1">
      <c r="J86" s="90"/>
      <c r="O86" s="90"/>
    </row>
    <row r="87" spans="10:15" ht="16.5" customHeight="1">
      <c r="J87" s="90"/>
      <c r="O87" s="90"/>
    </row>
    <row r="88" spans="10:15" ht="16.5" customHeight="1">
      <c r="J88" s="90"/>
      <c r="O88" s="90"/>
    </row>
    <row r="89" spans="10:15" ht="16.5" customHeight="1">
      <c r="J89" s="90"/>
      <c r="O89" s="90"/>
    </row>
    <row r="90" spans="10:15" ht="16.5" customHeight="1">
      <c r="J90" s="90"/>
      <c r="O90" s="90"/>
    </row>
    <row r="91" spans="10:15" ht="16.5" customHeight="1">
      <c r="J91" s="90"/>
      <c r="O91" s="90"/>
    </row>
    <row r="92" spans="10:15" ht="16.5" customHeight="1">
      <c r="J92" s="90"/>
      <c r="O92" s="90"/>
    </row>
    <row r="93" spans="10:15" ht="16.5" customHeight="1">
      <c r="J93" s="90"/>
      <c r="O93" s="90"/>
    </row>
    <row r="94" spans="10:15" ht="16.5" customHeight="1">
      <c r="J94" s="90"/>
      <c r="O94" s="90"/>
    </row>
    <row r="95" spans="10:15" ht="16.5" customHeight="1">
      <c r="J95" s="90"/>
      <c r="O95" s="90"/>
    </row>
    <row r="96" spans="10:15" ht="16.5" customHeight="1">
      <c r="J96" s="90"/>
      <c r="O96" s="90"/>
    </row>
    <row r="97" spans="10:15" ht="16.5" customHeight="1">
      <c r="J97" s="90"/>
      <c r="O97" s="90"/>
    </row>
    <row r="98" spans="10:15" ht="16.5" customHeight="1">
      <c r="J98" s="90"/>
      <c r="O98" s="90"/>
    </row>
    <row r="99" spans="10:15" ht="16.5" customHeight="1">
      <c r="J99" s="90"/>
      <c r="O99" s="90"/>
    </row>
    <row r="100" spans="10:15" ht="16.5" customHeight="1">
      <c r="J100" s="90"/>
      <c r="O100" s="90"/>
    </row>
    <row r="101" spans="10:15" ht="16.5" customHeight="1">
      <c r="J101" s="90"/>
      <c r="O101" s="90"/>
    </row>
    <row r="102" spans="10:15" ht="16.5" customHeight="1">
      <c r="J102" s="90"/>
      <c r="O102" s="90"/>
    </row>
  </sheetData>
  <mergeCells count="54">
    <mergeCell ref="C3:D3"/>
    <mergeCell ref="J21:O21"/>
    <mergeCell ref="C20:D20"/>
    <mergeCell ref="J1:O1"/>
    <mergeCell ref="E23:F23"/>
    <mergeCell ref="E22:F22"/>
    <mergeCell ref="E4:F4"/>
    <mergeCell ref="E3:F3"/>
    <mergeCell ref="A1:G1"/>
    <mergeCell ref="B3:B5"/>
    <mergeCell ref="E12:F12"/>
    <mergeCell ref="E13:F13"/>
    <mergeCell ref="E11:F11"/>
    <mergeCell ref="E10:F10"/>
    <mergeCell ref="B6:B17"/>
    <mergeCell ref="B19:B28"/>
    <mergeCell ref="C11:D11"/>
    <mergeCell ref="C9:D9"/>
    <mergeCell ref="C21:D21"/>
    <mergeCell ref="C4:D4"/>
    <mergeCell ref="C13:D13"/>
    <mergeCell ref="C12:D12"/>
    <mergeCell ref="C10:D10"/>
    <mergeCell ref="C19:D19"/>
    <mergeCell ref="C22:D22"/>
    <mergeCell ref="C31:D31"/>
    <mergeCell ref="C32:D32"/>
    <mergeCell ref="C24:D24"/>
    <mergeCell ref="C23:D23"/>
    <mergeCell ref="E48:F48"/>
    <mergeCell ref="E45:F45"/>
    <mergeCell ref="E47:F47"/>
    <mergeCell ref="E46:F46"/>
    <mergeCell ref="E21:F21"/>
    <mergeCell ref="E24:F24"/>
    <mergeCell ref="C47:D47"/>
    <mergeCell ref="B43:B52"/>
    <mergeCell ref="C43:D43"/>
    <mergeCell ref="C44:D44"/>
    <mergeCell ref="C46:D46"/>
    <mergeCell ref="C48:D48"/>
    <mergeCell ref="C45:D45"/>
    <mergeCell ref="C36:D36"/>
    <mergeCell ref="C33:D33"/>
    <mergeCell ref="C34:D34"/>
    <mergeCell ref="C35:D35"/>
    <mergeCell ref="B31:B40"/>
    <mergeCell ref="J6:O6"/>
    <mergeCell ref="J11:O11"/>
    <mergeCell ref="J16:O16"/>
    <mergeCell ref="E36:F36"/>
    <mergeCell ref="E33:F33"/>
    <mergeCell ref="E34:F34"/>
    <mergeCell ref="E35:F35"/>
  </mergeCells>
  <phoneticPr fontId="21" type="noConversion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0"/>
  <sheetViews>
    <sheetView workbookViewId="0">
      <selection activeCell="R21" sqref="R21"/>
    </sheetView>
  </sheetViews>
  <sheetFormatPr defaultColWidth="12.625" defaultRowHeight="15" customHeight="1"/>
  <cols>
    <col min="1" max="1" width="25.625" style="265" bestFit="1" customWidth="1"/>
    <col min="2" max="2" width="11.875" style="265" bestFit="1" customWidth="1"/>
    <col min="3" max="3" width="11.375" style="265" bestFit="1" customWidth="1"/>
    <col min="4" max="4" width="12.75" style="265" bestFit="1" customWidth="1"/>
    <col min="5" max="5" width="8" style="282" customWidth="1"/>
    <col min="6" max="13" width="10.25" style="282" customWidth="1"/>
    <col min="14" max="14" width="6.125" style="282" customWidth="1"/>
    <col min="15" max="15" width="28.375" style="282" customWidth="1"/>
    <col min="16" max="17" width="10.25" style="282" customWidth="1"/>
    <col min="18" max="18" width="24" style="265" customWidth="1"/>
    <col min="19" max="31" width="10.25" style="265" customWidth="1"/>
    <col min="32" max="16384" width="12.625" style="265"/>
  </cols>
  <sheetData>
    <row r="1" spans="1:18" ht="16.5" customHeight="1">
      <c r="A1" s="261" t="s">
        <v>235</v>
      </c>
      <c r="B1" s="262">
        <f>'2-現況修正回溫差5℃'!D6</f>
        <v>0</v>
      </c>
      <c r="C1" s="263" t="s">
        <v>244</v>
      </c>
      <c r="D1" s="264">
        <f>'2-現況修正回溫差5℃'!C4</f>
        <v>1.0419767441860466</v>
      </c>
      <c r="E1" s="303"/>
      <c r="G1" s="283"/>
      <c r="H1" s="284"/>
      <c r="I1" s="285"/>
      <c r="J1" s="286"/>
    </row>
    <row r="2" spans="1:18" ht="16.5" customHeight="1">
      <c r="A2" s="266" t="s">
        <v>236</v>
      </c>
      <c r="B2" s="267">
        <f>'2-現況修正回溫差5℃'!D7</f>
        <v>2.0934417997610273E-5</v>
      </c>
      <c r="C2" s="268" t="s">
        <v>245</v>
      </c>
      <c r="D2" s="269">
        <f>'2-現況修正回溫差5℃'!D4</f>
        <v>1.0106164980775878</v>
      </c>
      <c r="E2" s="304"/>
      <c r="F2" s="287"/>
      <c r="G2" s="288"/>
      <c r="H2" s="288"/>
      <c r="I2" s="289"/>
      <c r="J2" s="290"/>
      <c r="K2" s="287"/>
      <c r="L2" s="287"/>
      <c r="M2" s="287"/>
      <c r="N2" s="287"/>
      <c r="O2" s="287"/>
      <c r="P2" s="287"/>
    </row>
    <row r="3" spans="1:18" ht="16.5">
      <c r="A3" s="268" t="s">
        <v>185</v>
      </c>
      <c r="B3" s="262">
        <f>'2-現況修正回溫差5℃'!D11</f>
        <v>5.8500000000000014</v>
      </c>
      <c r="C3" s="270"/>
      <c r="D3" s="271" t="s">
        <v>254</v>
      </c>
      <c r="E3" s="305"/>
      <c r="F3" s="287"/>
      <c r="G3" s="288"/>
      <c r="H3" s="288"/>
      <c r="I3" s="289"/>
      <c r="J3" s="290"/>
      <c r="K3" s="287"/>
      <c r="L3" s="287"/>
      <c r="M3" s="287"/>
      <c r="N3" s="287"/>
      <c r="O3" s="287"/>
      <c r="P3" s="287"/>
    </row>
    <row r="4" spans="1:18" ht="16.5">
      <c r="A4" s="272" t="s">
        <v>237</v>
      </c>
      <c r="B4" s="262">
        <f>'2-現況修正回溫差5℃'!D12</f>
        <v>1044.7506655123816</v>
      </c>
      <c r="C4" s="273" t="s">
        <v>180</v>
      </c>
      <c r="D4" s="274">
        <f>$B$1+$B$2*B4^2</f>
        <v>22.85</v>
      </c>
      <c r="E4" s="306"/>
      <c r="F4" s="287"/>
      <c r="G4" s="291"/>
      <c r="H4" s="287"/>
      <c r="I4" s="292"/>
      <c r="J4" s="290"/>
      <c r="K4" s="287"/>
      <c r="L4" s="287"/>
      <c r="M4" s="287"/>
      <c r="N4" s="287"/>
      <c r="O4" s="287"/>
      <c r="P4" s="287"/>
    </row>
    <row r="5" spans="1:18" ht="24" customHeight="1">
      <c r="A5" s="272" t="s">
        <v>243</v>
      </c>
      <c r="B5" s="262">
        <f>'2-現況修正回溫差5℃'!D13</f>
        <v>1222.3582786494867</v>
      </c>
      <c r="C5" s="270" t="s">
        <v>238</v>
      </c>
      <c r="D5" s="274">
        <f t="shared" ref="D5:D16" si="0">$B$1+$B$2*B5^2</f>
        <v>31.279365000000013</v>
      </c>
      <c r="E5" s="306"/>
      <c r="F5" s="287"/>
      <c r="G5" s="288"/>
      <c r="H5" s="288"/>
      <c r="J5" s="293" t="str">
        <f>"全新系統 H="&amp;ROUND(B22,8)&amp;" ×"</f>
        <v>全新系統 H=0.00001111 ×</v>
      </c>
      <c r="K5" s="294" t="s">
        <v>252</v>
      </c>
      <c r="L5" s="287"/>
      <c r="M5" s="293" t="str">
        <f>"H="&amp;ROUND(B2,8)&amp;" ×"</f>
        <v>H=0.00002093 ×</v>
      </c>
      <c r="N5" s="294" t="s">
        <v>252</v>
      </c>
      <c r="O5" s="295" t="s">
        <v>246</v>
      </c>
      <c r="P5" s="287"/>
      <c r="R5" s="275"/>
    </row>
    <row r="6" spans="1:18" ht="16.5" customHeight="1">
      <c r="A6" s="272" t="s">
        <v>248</v>
      </c>
      <c r="B6" s="262">
        <f>'3-修回溫差5℃+功率100%'!D8</f>
        <v>1222.3582786494867</v>
      </c>
      <c r="C6" s="270" t="s">
        <v>239</v>
      </c>
      <c r="D6" s="274">
        <f t="shared" si="0"/>
        <v>31.279365000000013</v>
      </c>
      <c r="E6" s="306"/>
      <c r="F6" s="287"/>
      <c r="G6" s="288"/>
      <c r="H6" s="296"/>
      <c r="I6" s="290"/>
      <c r="J6" s="290"/>
      <c r="K6" s="287"/>
      <c r="L6" s="287"/>
      <c r="M6" s="287"/>
      <c r="N6" s="287"/>
      <c r="O6" s="297" t="str">
        <f>"馬達運轉負載 "&amp;ROUND(D1,3)*100&amp;"%,Δt="&amp;B3&amp;"℃"</f>
        <v>馬達運轉負載 104.2%,Δt=5.85℃</v>
      </c>
      <c r="P6" s="287"/>
    </row>
    <row r="7" spans="1:18" ht="16.5" customHeight="1">
      <c r="A7" s="272" t="s">
        <v>240</v>
      </c>
      <c r="B7" s="262">
        <f>'4-更新冰機+泵浦+舊管路'!E9</f>
        <v>1200</v>
      </c>
      <c r="C7" s="270" t="s">
        <v>241</v>
      </c>
      <c r="D7" s="274">
        <f t="shared" si="0"/>
        <v>30.145561916558794</v>
      </c>
      <c r="E7" s="306"/>
      <c r="F7" s="287"/>
      <c r="G7" s="290"/>
      <c r="H7" s="287"/>
      <c r="I7" s="287"/>
      <c r="J7" s="298"/>
      <c r="K7" s="287"/>
      <c r="L7" s="287"/>
      <c r="M7" s="287"/>
      <c r="N7" s="287"/>
      <c r="O7" s="299" t="str">
        <f>"流量 "&amp;ROUND(B4,1)&amp;"LPM, 揚程 "&amp;ROUND(D4,2)&amp;"m"</f>
        <v>流量 1044.8LPM, 揚程 22.85m</v>
      </c>
      <c r="P7" s="287"/>
    </row>
    <row r="8" spans="1:18" ht="16.5" customHeight="1">
      <c r="A8" s="266" t="s">
        <v>242</v>
      </c>
      <c r="B8" s="262">
        <f>MAX(B4:B7)</f>
        <v>1222.3582786494867</v>
      </c>
      <c r="C8" s="270"/>
      <c r="D8" s="274">
        <f t="shared" si="0"/>
        <v>31.279365000000013</v>
      </c>
      <c r="E8" s="306"/>
      <c r="F8" s="287"/>
      <c r="G8" s="300"/>
      <c r="H8" s="290"/>
      <c r="I8" s="290"/>
      <c r="J8" s="290"/>
      <c r="K8" s="287"/>
      <c r="L8" s="287"/>
      <c r="M8" s="287"/>
      <c r="N8" s="287"/>
      <c r="O8" s="287"/>
      <c r="P8" s="287"/>
    </row>
    <row r="9" spans="1:18" ht="16.5" customHeight="1">
      <c r="A9" s="270">
        <v>0.875</v>
      </c>
      <c r="B9" s="262">
        <f>$B$8*A9</f>
        <v>1069.5634938183009</v>
      </c>
      <c r="C9" s="270"/>
      <c r="D9" s="274">
        <f t="shared" si="0"/>
        <v>23.948263828125008</v>
      </c>
      <c r="E9" s="306"/>
      <c r="F9" s="287"/>
      <c r="G9" s="300"/>
      <c r="H9" s="290"/>
      <c r="I9" s="290"/>
      <c r="J9" s="290"/>
      <c r="K9" s="287"/>
      <c r="L9" s="287"/>
      <c r="M9" s="287"/>
      <c r="N9" s="287"/>
      <c r="O9" s="301" t="s">
        <v>247</v>
      </c>
      <c r="P9" s="287"/>
    </row>
    <row r="10" spans="1:18" ht="16.5" customHeight="1">
      <c r="A10" s="276">
        <v>0.75</v>
      </c>
      <c r="B10" s="262">
        <f t="shared" ref="B10:B16" si="1">$B$8*A10</f>
        <v>916.76870898711502</v>
      </c>
      <c r="C10" s="270"/>
      <c r="D10" s="274">
        <f t="shared" si="0"/>
        <v>17.594642812500005</v>
      </c>
      <c r="E10" s="306"/>
      <c r="F10" s="287"/>
      <c r="G10" s="300"/>
      <c r="H10" s="290"/>
      <c r="I10" s="290"/>
      <c r="J10" s="290"/>
      <c r="K10" s="287"/>
      <c r="L10" s="287"/>
      <c r="M10" s="287"/>
      <c r="N10" s="287"/>
      <c r="O10" s="302" t="str">
        <f>"馬達運轉負載 "&amp;ROUND(D1,3)*100&amp;"%,Δt=5℃"</f>
        <v>馬達運轉負載 104.2%,Δt=5℃</v>
      </c>
      <c r="P10" s="287"/>
    </row>
    <row r="11" spans="1:18" ht="16.5" customHeight="1">
      <c r="A11" s="270">
        <v>0.625</v>
      </c>
      <c r="B11" s="262">
        <f t="shared" si="1"/>
        <v>763.97392415592913</v>
      </c>
      <c r="C11" s="277"/>
      <c r="D11" s="274">
        <f t="shared" si="0"/>
        <v>12.218501953125001</v>
      </c>
      <c r="E11" s="306"/>
      <c r="F11" s="287"/>
      <c r="G11" s="300"/>
      <c r="H11" s="290"/>
      <c r="I11" s="290"/>
      <c r="J11" s="290"/>
      <c r="K11" s="287"/>
      <c r="L11" s="287"/>
      <c r="M11" s="287"/>
      <c r="N11" s="287"/>
      <c r="O11" s="299" t="str">
        <f>"流量 "&amp;ROUND(B5,1)&amp;"LPM, 揚程 "&amp;ROUND(D5,2)&amp;"m"</f>
        <v>流量 1222.4LPM, 揚程 31.28m</v>
      </c>
      <c r="P11" s="287"/>
    </row>
    <row r="12" spans="1:18" ht="16.5" customHeight="1">
      <c r="A12" s="270">
        <v>0.5</v>
      </c>
      <c r="B12" s="262">
        <f t="shared" si="1"/>
        <v>611.17913932474335</v>
      </c>
      <c r="C12" s="270"/>
      <c r="D12" s="274">
        <f t="shared" si="0"/>
        <v>7.8198412500000032</v>
      </c>
      <c r="E12" s="306"/>
      <c r="F12" s="287"/>
      <c r="G12" s="300"/>
      <c r="H12" s="290"/>
      <c r="I12" s="287"/>
      <c r="J12" s="290"/>
      <c r="K12" s="287"/>
      <c r="L12" s="287"/>
      <c r="M12" s="287"/>
      <c r="N12" s="287"/>
      <c r="O12" s="287"/>
      <c r="P12" s="287"/>
    </row>
    <row r="13" spans="1:18" ht="16.5" customHeight="1">
      <c r="A13" s="270">
        <v>0.375</v>
      </c>
      <c r="B13" s="262">
        <f t="shared" si="1"/>
        <v>458.38435449355751</v>
      </c>
      <c r="C13" s="270"/>
      <c r="D13" s="274">
        <f t="shared" si="0"/>
        <v>4.3986607031250013</v>
      </c>
      <c r="E13" s="306"/>
      <c r="F13" s="287"/>
      <c r="G13" s="300"/>
      <c r="H13" s="290"/>
      <c r="I13" s="287"/>
      <c r="J13" s="290"/>
      <c r="K13" s="287"/>
      <c r="L13" s="287"/>
      <c r="M13" s="287"/>
      <c r="N13" s="287"/>
      <c r="O13" s="301" t="s">
        <v>249</v>
      </c>
      <c r="P13" s="287"/>
    </row>
    <row r="14" spans="1:18" ht="16.5" customHeight="1">
      <c r="A14" s="270">
        <v>0.25</v>
      </c>
      <c r="B14" s="262">
        <f t="shared" si="1"/>
        <v>305.58956966237167</v>
      </c>
      <c r="C14" s="270"/>
      <c r="D14" s="274">
        <f t="shared" si="0"/>
        <v>1.9549603125000008</v>
      </c>
      <c r="E14" s="306"/>
      <c r="F14" s="287"/>
      <c r="G14" s="300"/>
      <c r="H14" s="290"/>
      <c r="I14" s="287"/>
      <c r="J14" s="290"/>
      <c r="K14" s="287"/>
      <c r="L14" s="287"/>
      <c r="M14" s="287"/>
      <c r="N14" s="287"/>
      <c r="O14" s="297" t="s">
        <v>250</v>
      </c>
      <c r="P14" s="287"/>
    </row>
    <row r="15" spans="1:18" ht="16.5" customHeight="1">
      <c r="A15" s="270">
        <v>0.125</v>
      </c>
      <c r="B15" s="262">
        <f t="shared" si="1"/>
        <v>152.79478483118584</v>
      </c>
      <c r="C15" s="270"/>
      <c r="D15" s="274">
        <f t="shared" si="0"/>
        <v>0.4887400781250002</v>
      </c>
      <c r="E15" s="306"/>
      <c r="F15" s="287"/>
      <c r="G15" s="300"/>
      <c r="H15" s="290"/>
      <c r="I15" s="287"/>
      <c r="J15" s="290"/>
      <c r="K15" s="287"/>
      <c r="L15" s="287"/>
      <c r="M15" s="287"/>
      <c r="N15" s="287"/>
      <c r="O15" s="299" t="str">
        <f>"流量 "&amp;ROUND(B6,1)&amp;"LPM, 揚程 "&amp;ROUND(D6,2)&amp;"m"</f>
        <v>流量 1222.4LPM, 揚程 31.28m</v>
      </c>
      <c r="P15" s="287"/>
    </row>
    <row r="16" spans="1:18" ht="16.5" customHeight="1">
      <c r="A16" s="270">
        <v>0</v>
      </c>
      <c r="B16" s="262">
        <f t="shared" si="1"/>
        <v>0</v>
      </c>
      <c r="C16" s="270"/>
      <c r="D16" s="274">
        <f t="shared" si="0"/>
        <v>0</v>
      </c>
      <c r="E16" s="306"/>
      <c r="F16" s="287"/>
      <c r="G16" s="300"/>
      <c r="H16" s="290"/>
      <c r="I16" s="287"/>
      <c r="J16" s="290"/>
      <c r="K16" s="287"/>
      <c r="L16" s="287"/>
      <c r="M16" s="287"/>
      <c r="N16" s="287"/>
      <c r="O16" s="287"/>
      <c r="P16" s="287"/>
    </row>
    <row r="17" spans="1:16" ht="16.5" customHeight="1">
      <c r="F17" s="287"/>
      <c r="G17" s="300"/>
      <c r="H17" s="290"/>
      <c r="I17" s="287"/>
      <c r="J17" s="290"/>
      <c r="K17" s="287"/>
      <c r="L17" s="287"/>
      <c r="M17" s="287"/>
      <c r="N17" s="287"/>
      <c r="O17" s="301" t="s">
        <v>251</v>
      </c>
      <c r="P17" s="287"/>
    </row>
    <row r="18" spans="1:16" ht="16.5" customHeight="1">
      <c r="F18" s="287"/>
      <c r="G18" s="300"/>
      <c r="H18" s="290"/>
      <c r="I18" s="287"/>
      <c r="J18" s="290"/>
      <c r="K18" s="287"/>
      <c r="L18" s="287"/>
      <c r="M18" s="287"/>
      <c r="N18" s="287"/>
      <c r="O18" s="297" t="s">
        <v>250</v>
      </c>
      <c r="P18" s="287"/>
    </row>
    <row r="19" spans="1:16" ht="16.5" customHeight="1">
      <c r="F19" s="287"/>
      <c r="G19" s="300"/>
      <c r="H19" s="290"/>
      <c r="I19" s="287"/>
      <c r="J19" s="290"/>
      <c r="K19" s="287"/>
      <c r="L19" s="287"/>
      <c r="M19" s="287"/>
      <c r="N19" s="287"/>
      <c r="O19" s="299" t="str">
        <f>"流量 "&amp;ROUND(B7,1)&amp;"LPM, 揚程 "&amp;ROUND(D7,2)&amp;"m"</f>
        <v>流量 1200LPM, 揚程 30.15m</v>
      </c>
      <c r="P19" s="287"/>
    </row>
    <row r="20" spans="1:16" ht="16.5" customHeight="1">
      <c r="A20" s="410" t="s">
        <v>253</v>
      </c>
      <c r="B20" s="411"/>
      <c r="C20" s="411"/>
      <c r="D20" s="412"/>
      <c r="F20" s="287"/>
      <c r="G20" s="300"/>
      <c r="H20" s="290"/>
      <c r="I20" s="287"/>
      <c r="J20" s="290"/>
      <c r="K20" s="287"/>
      <c r="L20" s="287"/>
      <c r="M20" s="287"/>
      <c r="N20" s="287"/>
      <c r="O20" s="287"/>
      <c r="P20" s="287"/>
    </row>
    <row r="21" spans="1:16" ht="16.5" customHeight="1">
      <c r="A21" s="261" t="s">
        <v>235</v>
      </c>
      <c r="B21" s="278">
        <f>'5-全新系統'!D10</f>
        <v>0</v>
      </c>
      <c r="F21" s="287"/>
      <c r="G21" s="288"/>
      <c r="H21" s="290"/>
      <c r="I21" s="290"/>
      <c r="J21" s="290"/>
      <c r="K21" s="287"/>
      <c r="L21" s="287"/>
      <c r="M21" s="287"/>
      <c r="N21" s="287"/>
      <c r="O21" s="295" t="s">
        <v>255</v>
      </c>
      <c r="P21" s="287"/>
    </row>
    <row r="22" spans="1:16" ht="16.5" customHeight="1">
      <c r="A22" s="266" t="s">
        <v>236</v>
      </c>
      <c r="B22" s="279">
        <f>'5-全新系統'!D11</f>
        <v>1.1111111111111112E-5</v>
      </c>
      <c r="F22" s="287"/>
      <c r="G22" s="288"/>
      <c r="H22" s="290"/>
      <c r="I22" s="290"/>
      <c r="J22" s="290"/>
      <c r="K22" s="287"/>
      <c r="L22" s="287"/>
      <c r="M22" s="287"/>
      <c r="N22" s="287"/>
      <c r="O22" s="297" t="s">
        <v>250</v>
      </c>
      <c r="P22" s="287"/>
    </row>
    <row r="23" spans="1:16" ht="16.5" customHeight="1">
      <c r="A23" s="268" t="s">
        <v>185</v>
      </c>
      <c r="B23" s="278">
        <f>'5-全新系統'!D5</f>
        <v>5</v>
      </c>
      <c r="D23" s="271" t="s">
        <v>254</v>
      </c>
      <c r="F23" s="287"/>
      <c r="G23" s="288"/>
      <c r="H23" s="290"/>
      <c r="I23" s="290"/>
      <c r="J23" s="290"/>
      <c r="K23" s="287"/>
      <c r="L23" s="287"/>
      <c r="M23" s="287"/>
      <c r="N23" s="287"/>
      <c r="O23" s="299" t="str">
        <f>"流量 "&amp;ROUND(B24,1)&amp;"LPM, 揚程 "&amp;ROUND(D24,2)&amp;"m"</f>
        <v>流量 1200LPM, 揚程 16m</v>
      </c>
      <c r="P23" s="287"/>
    </row>
    <row r="24" spans="1:16" ht="16.5" customHeight="1">
      <c r="A24" s="280">
        <v>1</v>
      </c>
      <c r="B24" s="278">
        <f>'5-全新系統'!D6</f>
        <v>1200</v>
      </c>
      <c r="C24" s="278"/>
      <c r="D24" s="278">
        <f>$B$21+$B$22*B24^2</f>
        <v>16</v>
      </c>
      <c r="F24" s="287"/>
      <c r="G24" s="288"/>
      <c r="H24" s="290"/>
      <c r="I24" s="290"/>
      <c r="J24" s="290"/>
      <c r="K24" s="287"/>
      <c r="L24" s="287"/>
      <c r="M24" s="287"/>
      <c r="N24" s="287"/>
      <c r="O24" s="287"/>
      <c r="P24" s="287"/>
    </row>
    <row r="25" spans="1:16" ht="16.5" customHeight="1">
      <c r="A25" s="268">
        <v>0.875</v>
      </c>
      <c r="B25" s="278">
        <f>$B$24*A25</f>
        <v>1050</v>
      </c>
      <c r="C25" s="278"/>
      <c r="D25" s="278">
        <f t="shared" ref="D25:D32" si="2">$B$21+$B$22*B25^2</f>
        <v>12.25</v>
      </c>
      <c r="F25" s="287"/>
      <c r="G25" s="288"/>
      <c r="H25" s="290"/>
      <c r="I25" s="290"/>
      <c r="J25" s="290"/>
      <c r="K25" s="287"/>
      <c r="L25" s="287"/>
      <c r="M25" s="287"/>
      <c r="N25" s="287"/>
      <c r="O25" s="287"/>
      <c r="P25" s="287"/>
    </row>
    <row r="26" spans="1:16" ht="16.5" customHeight="1">
      <c r="A26" s="281">
        <v>0.75</v>
      </c>
      <c r="B26" s="278">
        <f t="shared" ref="B26:B32" si="3">$B$24*A26</f>
        <v>900</v>
      </c>
      <c r="C26" s="278"/>
      <c r="D26" s="278">
        <f t="shared" si="2"/>
        <v>9</v>
      </c>
      <c r="G26" s="284"/>
      <c r="H26" s="283"/>
      <c r="I26" s="283"/>
      <c r="J26" s="283"/>
    </row>
    <row r="27" spans="1:16" ht="16.5" customHeight="1">
      <c r="A27" s="268">
        <v>0.625</v>
      </c>
      <c r="B27" s="278">
        <f t="shared" si="3"/>
        <v>750</v>
      </c>
      <c r="C27" s="278"/>
      <c r="D27" s="278">
        <f t="shared" si="2"/>
        <v>6.25</v>
      </c>
      <c r="G27" s="284"/>
      <c r="H27" s="283"/>
      <c r="I27" s="283"/>
      <c r="J27" s="283"/>
    </row>
    <row r="28" spans="1:16" ht="16.5" customHeight="1">
      <c r="A28" s="268">
        <v>0.5</v>
      </c>
      <c r="B28" s="278">
        <f t="shared" si="3"/>
        <v>600</v>
      </c>
      <c r="C28" s="278"/>
      <c r="D28" s="278">
        <f t="shared" si="2"/>
        <v>4</v>
      </c>
      <c r="G28" s="284"/>
      <c r="H28" s="283"/>
      <c r="I28" s="283"/>
      <c r="J28" s="283"/>
    </row>
    <row r="29" spans="1:16" ht="16.5" customHeight="1">
      <c r="A29" s="268">
        <v>0.375</v>
      </c>
      <c r="B29" s="278">
        <f t="shared" si="3"/>
        <v>450</v>
      </c>
      <c r="C29" s="278"/>
      <c r="D29" s="278">
        <f t="shared" si="2"/>
        <v>2.25</v>
      </c>
      <c r="G29" s="284"/>
      <c r="H29" s="283"/>
      <c r="I29" s="283"/>
      <c r="J29" s="283"/>
    </row>
    <row r="30" spans="1:16" ht="16.5" customHeight="1">
      <c r="A30" s="268">
        <v>0.25</v>
      </c>
      <c r="B30" s="278">
        <f t="shared" si="3"/>
        <v>300</v>
      </c>
      <c r="C30" s="278"/>
      <c r="D30" s="278">
        <f t="shared" si="2"/>
        <v>1</v>
      </c>
      <c r="G30" s="284"/>
      <c r="H30" s="283"/>
      <c r="I30" s="283"/>
      <c r="J30" s="283"/>
    </row>
    <row r="31" spans="1:16" ht="16.5" customHeight="1">
      <c r="A31" s="268">
        <v>0.125</v>
      </c>
      <c r="B31" s="278">
        <f t="shared" si="3"/>
        <v>150</v>
      </c>
      <c r="C31" s="278"/>
      <c r="D31" s="278">
        <f t="shared" si="2"/>
        <v>0.25</v>
      </c>
      <c r="G31" s="284"/>
      <c r="H31" s="283"/>
      <c r="I31" s="283"/>
      <c r="J31" s="283"/>
    </row>
    <row r="32" spans="1:16" ht="16.5" customHeight="1">
      <c r="A32" s="268">
        <v>0</v>
      </c>
      <c r="B32" s="278">
        <f t="shared" si="3"/>
        <v>0</v>
      </c>
      <c r="C32" s="278"/>
      <c r="D32" s="278">
        <f t="shared" si="2"/>
        <v>0</v>
      </c>
      <c r="G32" s="284"/>
      <c r="H32" s="283"/>
      <c r="I32" s="283"/>
      <c r="J32" s="283"/>
    </row>
    <row r="33" spans="7:10" ht="16.5" customHeight="1">
      <c r="G33" s="284"/>
      <c r="H33" s="283"/>
      <c r="I33" s="283"/>
      <c r="J33" s="283"/>
    </row>
    <row r="34" spans="7:10" ht="16.5" customHeight="1">
      <c r="G34" s="284"/>
      <c r="H34" s="283"/>
      <c r="I34" s="283"/>
      <c r="J34" s="283"/>
    </row>
    <row r="35" spans="7:10" ht="16.5" customHeight="1">
      <c r="G35" s="284"/>
      <c r="H35" s="283"/>
      <c r="I35" s="283"/>
      <c r="J35" s="283"/>
    </row>
    <row r="36" spans="7:10" ht="16.5" customHeight="1">
      <c r="G36" s="284"/>
      <c r="H36" s="283"/>
      <c r="I36" s="283"/>
      <c r="J36" s="283"/>
    </row>
    <row r="37" spans="7:10" ht="16.5" customHeight="1">
      <c r="G37" s="284"/>
      <c r="H37" s="283"/>
      <c r="I37" s="283"/>
      <c r="J37" s="283"/>
    </row>
    <row r="38" spans="7:10" ht="16.5" customHeight="1">
      <c r="G38" s="284"/>
      <c r="H38" s="283"/>
      <c r="I38" s="283"/>
      <c r="J38" s="283"/>
    </row>
    <row r="39" spans="7:10" ht="16.5" customHeight="1">
      <c r="G39" s="284"/>
      <c r="H39" s="283"/>
      <c r="I39" s="283"/>
      <c r="J39" s="283"/>
    </row>
    <row r="40" spans="7:10" ht="16.5" customHeight="1">
      <c r="G40" s="284"/>
      <c r="H40" s="283"/>
      <c r="I40" s="283"/>
      <c r="J40" s="283"/>
    </row>
    <row r="41" spans="7:10" ht="16.5" customHeight="1">
      <c r="G41" s="284"/>
      <c r="H41" s="283"/>
      <c r="I41" s="283"/>
      <c r="J41" s="283"/>
    </row>
    <row r="42" spans="7:10" ht="16.5" customHeight="1">
      <c r="G42" s="284"/>
      <c r="H42" s="283"/>
      <c r="I42" s="283"/>
      <c r="J42" s="283"/>
    </row>
    <row r="43" spans="7:10" ht="16.5" customHeight="1">
      <c r="G43" s="284"/>
      <c r="H43" s="283"/>
      <c r="I43" s="283"/>
      <c r="J43" s="283"/>
    </row>
    <row r="44" spans="7:10" ht="16.5" customHeight="1">
      <c r="G44" s="284"/>
      <c r="H44" s="283"/>
      <c r="I44" s="283"/>
      <c r="J44" s="283"/>
    </row>
    <row r="45" spans="7:10" ht="16.5" customHeight="1">
      <c r="G45" s="284"/>
      <c r="H45" s="283"/>
      <c r="I45" s="283"/>
      <c r="J45" s="283"/>
    </row>
    <row r="46" spans="7:10" ht="16.5" customHeight="1">
      <c r="G46" s="284"/>
      <c r="H46" s="283"/>
      <c r="I46" s="283"/>
      <c r="J46" s="283"/>
    </row>
    <row r="47" spans="7:10" ht="16.5" customHeight="1">
      <c r="G47" s="284"/>
      <c r="H47" s="283"/>
      <c r="I47" s="283"/>
      <c r="J47" s="283"/>
    </row>
    <row r="48" spans="7:10" ht="16.5" customHeight="1">
      <c r="G48" s="284"/>
      <c r="H48" s="283"/>
      <c r="I48" s="283"/>
      <c r="J48" s="283"/>
    </row>
    <row r="49" spans="7:10" ht="16.5" customHeight="1">
      <c r="G49" s="284"/>
      <c r="H49" s="283"/>
      <c r="I49" s="283"/>
      <c r="J49" s="283"/>
    </row>
    <row r="50" spans="7:10" ht="16.5" customHeight="1">
      <c r="G50" s="284"/>
      <c r="H50" s="283"/>
      <c r="I50" s="283"/>
      <c r="J50" s="283"/>
    </row>
    <row r="51" spans="7:10" ht="16.5" customHeight="1">
      <c r="G51" s="284"/>
      <c r="H51" s="283"/>
      <c r="I51" s="283"/>
      <c r="J51" s="283"/>
    </row>
    <row r="52" spans="7:10" ht="16.5" customHeight="1">
      <c r="G52" s="284"/>
      <c r="H52" s="283"/>
      <c r="I52" s="283"/>
      <c r="J52" s="283"/>
    </row>
    <row r="53" spans="7:10" ht="16.5" customHeight="1">
      <c r="G53" s="284"/>
      <c r="H53" s="283"/>
      <c r="I53" s="283"/>
      <c r="J53" s="283"/>
    </row>
    <row r="54" spans="7:10" ht="16.5" customHeight="1">
      <c r="G54" s="284"/>
      <c r="H54" s="283"/>
      <c r="I54" s="283"/>
      <c r="J54" s="283"/>
    </row>
    <row r="55" spans="7:10" ht="16.5" customHeight="1">
      <c r="G55" s="284"/>
      <c r="H55" s="283"/>
      <c r="I55" s="283"/>
      <c r="J55" s="283"/>
    </row>
    <row r="56" spans="7:10" ht="16.5" customHeight="1">
      <c r="G56" s="284"/>
      <c r="H56" s="283"/>
      <c r="I56" s="283"/>
      <c r="J56" s="283"/>
    </row>
    <row r="57" spans="7:10" ht="16.5" customHeight="1">
      <c r="G57" s="284"/>
      <c r="H57" s="283"/>
      <c r="I57" s="283"/>
      <c r="J57" s="283"/>
    </row>
    <row r="58" spans="7:10" ht="16.5" customHeight="1">
      <c r="G58" s="284"/>
      <c r="H58" s="283"/>
      <c r="I58" s="283"/>
      <c r="J58" s="283"/>
    </row>
    <row r="59" spans="7:10" ht="16.5" customHeight="1">
      <c r="G59" s="284"/>
      <c r="H59" s="283"/>
      <c r="I59" s="283"/>
      <c r="J59" s="283"/>
    </row>
    <row r="60" spans="7:10" ht="16.5" customHeight="1">
      <c r="G60" s="284"/>
      <c r="H60" s="283"/>
      <c r="I60" s="283"/>
      <c r="J60" s="283"/>
    </row>
    <row r="61" spans="7:10" ht="16.5" customHeight="1">
      <c r="G61" s="284"/>
      <c r="H61" s="283"/>
      <c r="I61" s="283"/>
      <c r="J61" s="283"/>
    </row>
    <row r="62" spans="7:10" ht="16.5" customHeight="1">
      <c r="G62" s="284"/>
      <c r="H62" s="283"/>
      <c r="I62" s="283"/>
      <c r="J62" s="283"/>
    </row>
    <row r="63" spans="7:10" ht="16.5" customHeight="1">
      <c r="G63" s="284"/>
      <c r="H63" s="283"/>
      <c r="I63" s="283"/>
      <c r="J63" s="283"/>
    </row>
    <row r="64" spans="7:10" ht="16.5" customHeight="1">
      <c r="G64" s="284"/>
      <c r="H64" s="283"/>
      <c r="I64" s="283"/>
      <c r="J64" s="283"/>
    </row>
    <row r="65" spans="7:10" ht="16.5" customHeight="1">
      <c r="G65" s="284"/>
      <c r="H65" s="283"/>
      <c r="I65" s="283"/>
      <c r="J65" s="283"/>
    </row>
    <row r="66" spans="7:10" ht="16.5" customHeight="1">
      <c r="G66" s="284"/>
      <c r="H66" s="283"/>
      <c r="I66" s="283"/>
      <c r="J66" s="283"/>
    </row>
    <row r="67" spans="7:10" ht="16.5" customHeight="1">
      <c r="G67" s="284"/>
      <c r="H67" s="283"/>
      <c r="I67" s="283"/>
      <c r="J67" s="283"/>
    </row>
    <row r="68" spans="7:10" ht="16.5" customHeight="1">
      <c r="G68" s="284"/>
      <c r="H68" s="283"/>
      <c r="I68" s="283"/>
      <c r="J68" s="283"/>
    </row>
    <row r="69" spans="7:10" ht="16.5" customHeight="1">
      <c r="G69" s="284"/>
      <c r="H69" s="283"/>
      <c r="I69" s="283"/>
      <c r="J69" s="283"/>
    </row>
    <row r="70" spans="7:10" ht="16.5" customHeight="1">
      <c r="G70" s="284"/>
      <c r="H70" s="283"/>
      <c r="I70" s="283"/>
      <c r="J70" s="283"/>
    </row>
    <row r="71" spans="7:10" ht="16.5" customHeight="1">
      <c r="G71" s="284"/>
      <c r="H71" s="283"/>
      <c r="I71" s="283"/>
      <c r="J71" s="283"/>
    </row>
    <row r="72" spans="7:10" ht="16.5" customHeight="1">
      <c r="G72" s="284"/>
      <c r="H72" s="283"/>
      <c r="I72" s="283"/>
      <c r="J72" s="283"/>
    </row>
    <row r="73" spans="7:10" ht="16.5" customHeight="1">
      <c r="G73" s="284"/>
      <c r="H73" s="283"/>
      <c r="I73" s="283"/>
      <c r="J73" s="283"/>
    </row>
    <row r="74" spans="7:10" ht="16.5" customHeight="1">
      <c r="G74" s="284"/>
      <c r="H74" s="283"/>
      <c r="I74" s="283"/>
      <c r="J74" s="283"/>
    </row>
    <row r="75" spans="7:10" ht="16.5" customHeight="1">
      <c r="G75" s="284"/>
      <c r="H75" s="283"/>
      <c r="I75" s="283"/>
      <c r="J75" s="283"/>
    </row>
    <row r="76" spans="7:10" ht="16.5" customHeight="1">
      <c r="G76" s="284"/>
      <c r="H76" s="283"/>
      <c r="I76" s="283"/>
      <c r="J76" s="283"/>
    </row>
    <row r="77" spans="7:10" ht="16.5" customHeight="1">
      <c r="G77" s="284"/>
      <c r="H77" s="283"/>
      <c r="I77" s="283"/>
      <c r="J77" s="283"/>
    </row>
    <row r="78" spans="7:10" ht="16.5" customHeight="1">
      <c r="G78" s="284"/>
      <c r="H78" s="283"/>
      <c r="I78" s="283"/>
      <c r="J78" s="283"/>
    </row>
    <row r="79" spans="7:10" ht="16.5" customHeight="1">
      <c r="G79" s="284"/>
      <c r="H79" s="283"/>
      <c r="I79" s="283"/>
      <c r="J79" s="283"/>
    </row>
    <row r="80" spans="7:10" ht="16.5" customHeight="1">
      <c r="G80" s="284"/>
      <c r="H80" s="283"/>
      <c r="I80" s="283"/>
      <c r="J80" s="283"/>
    </row>
    <row r="81" spans="7:10" ht="16.5" customHeight="1">
      <c r="G81" s="284"/>
      <c r="H81" s="283"/>
      <c r="I81" s="283"/>
      <c r="J81" s="283"/>
    </row>
    <row r="82" spans="7:10" ht="16.5" customHeight="1">
      <c r="G82" s="284"/>
      <c r="H82" s="283"/>
      <c r="I82" s="283"/>
      <c r="J82" s="283"/>
    </row>
    <row r="83" spans="7:10" ht="16.5" customHeight="1">
      <c r="G83" s="284"/>
      <c r="H83" s="283"/>
      <c r="I83" s="283"/>
      <c r="J83" s="283"/>
    </row>
    <row r="84" spans="7:10" ht="16.5" customHeight="1">
      <c r="G84" s="284"/>
      <c r="H84" s="283"/>
      <c r="I84" s="283"/>
      <c r="J84" s="283"/>
    </row>
    <row r="85" spans="7:10" ht="16.5" customHeight="1">
      <c r="G85" s="284"/>
      <c r="H85" s="283"/>
      <c r="I85" s="283"/>
      <c r="J85" s="283"/>
    </row>
    <row r="86" spans="7:10" ht="16.5" customHeight="1">
      <c r="G86" s="284"/>
      <c r="H86" s="283"/>
      <c r="I86" s="283"/>
      <c r="J86" s="283"/>
    </row>
    <row r="87" spans="7:10" ht="16.5" customHeight="1">
      <c r="G87" s="284"/>
      <c r="H87" s="283"/>
      <c r="I87" s="283"/>
      <c r="J87" s="283"/>
    </row>
    <row r="88" spans="7:10" ht="16.5" customHeight="1">
      <c r="G88" s="284"/>
      <c r="H88" s="283"/>
      <c r="I88" s="283"/>
      <c r="J88" s="283"/>
    </row>
    <row r="89" spans="7:10" ht="16.5" customHeight="1">
      <c r="G89" s="284"/>
      <c r="H89" s="283"/>
      <c r="I89" s="283"/>
      <c r="J89" s="283"/>
    </row>
    <row r="90" spans="7:10" ht="16.5" customHeight="1">
      <c r="G90" s="284"/>
      <c r="H90" s="283"/>
      <c r="I90" s="283"/>
      <c r="J90" s="283"/>
    </row>
    <row r="91" spans="7:10" ht="16.5" customHeight="1">
      <c r="G91" s="284"/>
      <c r="H91" s="283"/>
      <c r="I91" s="283"/>
      <c r="J91" s="283"/>
    </row>
    <row r="92" spans="7:10" ht="16.5" customHeight="1">
      <c r="G92" s="284"/>
      <c r="H92" s="283"/>
      <c r="I92" s="283"/>
      <c r="J92" s="283"/>
    </row>
    <row r="93" spans="7:10" ht="16.5" customHeight="1">
      <c r="G93" s="284"/>
      <c r="H93" s="283"/>
      <c r="I93" s="283"/>
      <c r="J93" s="283"/>
    </row>
    <row r="94" spans="7:10" ht="16.5" customHeight="1">
      <c r="G94" s="284"/>
      <c r="H94" s="283"/>
      <c r="I94" s="283"/>
      <c r="J94" s="283"/>
    </row>
    <row r="95" spans="7:10" ht="16.5" customHeight="1">
      <c r="G95" s="284"/>
      <c r="H95" s="283"/>
      <c r="I95" s="283"/>
      <c r="J95" s="283"/>
    </row>
    <row r="96" spans="7:10" ht="16.5" customHeight="1">
      <c r="G96" s="284"/>
      <c r="H96" s="283"/>
      <c r="I96" s="283"/>
      <c r="J96" s="283"/>
    </row>
    <row r="97" spans="7:10" ht="16.5" customHeight="1">
      <c r="G97" s="284"/>
      <c r="H97" s="283"/>
      <c r="I97" s="283"/>
      <c r="J97" s="283"/>
    </row>
    <row r="98" spans="7:10" ht="16.5" customHeight="1">
      <c r="G98" s="284"/>
      <c r="H98" s="283"/>
      <c r="I98" s="283"/>
      <c r="J98" s="283"/>
    </row>
    <row r="99" spans="7:10" ht="16.5" customHeight="1">
      <c r="G99" s="284"/>
      <c r="H99" s="283"/>
      <c r="I99" s="283"/>
      <c r="J99" s="283"/>
    </row>
    <row r="100" spans="7:10" ht="16.5" customHeight="1">
      <c r="G100" s="284"/>
      <c r="H100" s="283"/>
      <c r="I100" s="283"/>
      <c r="J100" s="283"/>
    </row>
  </sheetData>
  <sheetProtection selectLockedCells="1"/>
  <mergeCells count="1">
    <mergeCell ref="A20:D20"/>
  </mergeCells>
  <phoneticPr fontId="21" type="noConversion"/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"/>
  <sheetViews>
    <sheetView workbookViewId="0">
      <selection activeCell="Q1" sqref="Q1"/>
    </sheetView>
  </sheetViews>
  <sheetFormatPr defaultColWidth="12.625" defaultRowHeight="15" customHeight="1"/>
  <cols>
    <col min="1" max="1" width="9.125" style="265" customWidth="1"/>
    <col min="2" max="2" width="22.5" style="265" bestFit="1" customWidth="1"/>
    <col min="3" max="3" width="11.875" style="278" bestFit="1" customWidth="1"/>
    <col min="4" max="4" width="8.125" style="265" bestFit="1" customWidth="1"/>
    <col min="5" max="5" width="8.125" style="282" customWidth="1"/>
    <col min="6" max="6" width="10.875" style="282" customWidth="1"/>
    <col min="7" max="13" width="10.25" style="282" customWidth="1"/>
    <col min="14" max="14" width="28" style="282" customWidth="1"/>
    <col min="15" max="16" width="10.25" style="282" customWidth="1"/>
    <col min="17" max="24" width="10.25" style="265" customWidth="1"/>
    <col min="25" max="16384" width="12.625" style="265"/>
  </cols>
  <sheetData>
    <row r="1" spans="1:15" ht="16.5" customHeight="1">
      <c r="A1" s="308">
        <f>MAX(C1:C4)</f>
        <v>1222.3582786494867</v>
      </c>
      <c r="B1" s="309" t="s">
        <v>38</v>
      </c>
      <c r="C1" s="312">
        <f>'1.2-系統量測數據計算'!E6</f>
        <v>1044.7506655123816</v>
      </c>
      <c r="D1" s="273" t="s">
        <v>180</v>
      </c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1:15" ht="16.5" customHeight="1">
      <c r="A2" s="309"/>
      <c r="B2" s="309" t="s">
        <v>181</v>
      </c>
      <c r="C2" s="312">
        <f>'2-現況修正回溫差5℃'!D12</f>
        <v>1044.7506655123816</v>
      </c>
      <c r="D2" s="270" t="s">
        <v>238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ht="16.5" customHeight="1">
      <c r="A3" s="309"/>
      <c r="B3" s="309" t="s">
        <v>182</v>
      </c>
      <c r="C3" s="312">
        <f>'3-修回溫差5℃+功率100%'!D8</f>
        <v>1222.3582786494867</v>
      </c>
      <c r="D3" s="270" t="s">
        <v>239</v>
      </c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6.5" customHeight="1">
      <c r="A4" s="313"/>
      <c r="B4" s="309" t="s">
        <v>183</v>
      </c>
      <c r="C4" s="312">
        <f>'4-更新冰機+泵浦+舊管路'!E9</f>
        <v>1200</v>
      </c>
      <c r="D4" s="270" t="s">
        <v>241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</row>
    <row r="5" spans="1:15" ht="16.5" customHeight="1">
      <c r="A5" s="309"/>
      <c r="B5" s="309" t="s">
        <v>184</v>
      </c>
      <c r="C5" s="279">
        <f>'4-更新冰機+泵浦+舊管路'!D4</f>
        <v>2.0934417997610273E-5</v>
      </c>
      <c r="D5" s="308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16.5" customHeight="1">
      <c r="A6" s="309"/>
      <c r="B6" s="314" t="s">
        <v>185</v>
      </c>
      <c r="C6" s="315">
        <f>'1.2-系統量測數據計算'!E8</f>
        <v>5.8500000000000014</v>
      </c>
      <c r="D6" s="308"/>
      <c r="F6" s="287"/>
      <c r="G6" s="287"/>
      <c r="H6" s="287"/>
      <c r="I6" s="287"/>
      <c r="J6" s="287"/>
      <c r="K6" s="287"/>
      <c r="L6" s="287"/>
      <c r="M6" s="287"/>
      <c r="N6" s="295" t="s">
        <v>246</v>
      </c>
      <c r="O6" s="287"/>
    </row>
    <row r="7" spans="1:15" ht="16.5" customHeight="1">
      <c r="A7" s="308"/>
      <c r="B7" s="309" t="s">
        <v>186</v>
      </c>
      <c r="C7" s="278" t="s">
        <v>96</v>
      </c>
      <c r="D7" s="316" t="s">
        <v>187</v>
      </c>
      <c r="F7" s="287"/>
      <c r="G7" s="287"/>
      <c r="H7" s="287"/>
      <c r="I7" s="287"/>
      <c r="J7" s="287"/>
      <c r="K7" s="287"/>
      <c r="L7" s="287"/>
      <c r="M7" s="287"/>
      <c r="N7" s="299" t="str">
        <f>"流量 "&amp;ROUND(C8,1)&amp;"LPM, 揚程 "&amp;ROUND(D8,2)&amp;"m"</f>
        <v>流量 1044.8LPM, 揚程 22.85m</v>
      </c>
      <c r="O7" s="287"/>
    </row>
    <row r="8" spans="1:15" ht="16.5" customHeight="1">
      <c r="A8" s="317"/>
      <c r="B8" s="308"/>
      <c r="C8" s="315">
        <f>C2</f>
        <v>1044.7506655123816</v>
      </c>
      <c r="D8" s="315">
        <f t="shared" ref="D8:D19" si="0">$C$5*(C8^2)</f>
        <v>22.85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spans="1:15" ht="16.5" customHeight="1">
      <c r="A9" s="317">
        <v>9</v>
      </c>
      <c r="B9" s="308"/>
      <c r="C9" s="315">
        <f>C1</f>
        <v>1044.7506655123816</v>
      </c>
      <c r="D9" s="315">
        <f t="shared" si="0"/>
        <v>22.85</v>
      </c>
      <c r="F9" s="287"/>
      <c r="G9" s="287"/>
      <c r="H9" s="287"/>
      <c r="I9" s="287"/>
      <c r="J9" s="287"/>
      <c r="K9" s="287"/>
      <c r="L9" s="287"/>
      <c r="M9" s="287"/>
      <c r="N9" s="301" t="s">
        <v>247</v>
      </c>
      <c r="O9" s="287"/>
    </row>
    <row r="10" spans="1:15" ht="16.5" customHeight="1">
      <c r="A10" s="317"/>
      <c r="B10" s="308"/>
      <c r="C10" s="315">
        <f>C4</f>
        <v>1200</v>
      </c>
      <c r="D10" s="315">
        <f t="shared" si="0"/>
        <v>30.145561916558794</v>
      </c>
      <c r="F10" s="287"/>
      <c r="G10" s="287"/>
      <c r="H10" s="287"/>
      <c r="I10" s="287"/>
      <c r="J10" s="287"/>
      <c r="K10" s="287"/>
      <c r="L10" s="287"/>
      <c r="M10" s="287"/>
      <c r="N10" s="299" t="str">
        <f>"流量 "&amp;ROUND(C9,1)&amp;"LPM, 揚程 "&amp;ROUND(D9,2)&amp;"m"</f>
        <v>流量 1044.8LPM, 揚程 22.85m</v>
      </c>
      <c r="O10" s="287"/>
    </row>
    <row r="11" spans="1:15" ht="16.5" customHeight="1">
      <c r="A11" s="317"/>
      <c r="B11" s="308"/>
      <c r="C11" s="315">
        <f>C3</f>
        <v>1222.3582786494867</v>
      </c>
      <c r="D11" s="315">
        <f t="shared" si="0"/>
        <v>31.279365000000013</v>
      </c>
      <c r="F11" s="287"/>
      <c r="G11" s="287"/>
      <c r="H11" s="287"/>
      <c r="I11" s="287"/>
      <c r="J11" s="287"/>
      <c r="K11" s="287"/>
      <c r="L11" s="287"/>
      <c r="M11" s="287"/>
      <c r="N11" s="287"/>
      <c r="O11" s="287"/>
    </row>
    <row r="12" spans="1:15" ht="16.5" customHeight="1">
      <c r="A12" s="317">
        <v>8</v>
      </c>
      <c r="B12" s="308">
        <v>0.875</v>
      </c>
      <c r="C12" s="278">
        <f t="shared" ref="C12:C19" si="1">ROUNDDOWN($A$1,-2)*B12</f>
        <v>1050</v>
      </c>
      <c r="D12" s="315">
        <f t="shared" si="0"/>
        <v>23.080195842365324</v>
      </c>
      <c r="F12" s="287"/>
      <c r="G12" s="287"/>
      <c r="H12" s="287"/>
      <c r="I12" s="287"/>
      <c r="J12" s="287"/>
      <c r="K12" s="287"/>
      <c r="L12" s="287"/>
      <c r="M12" s="287"/>
      <c r="N12" s="301" t="s">
        <v>249</v>
      </c>
      <c r="O12" s="287"/>
    </row>
    <row r="13" spans="1:15" ht="16.5" customHeight="1">
      <c r="A13" s="317">
        <v>7</v>
      </c>
      <c r="B13" s="308">
        <v>0.75</v>
      </c>
      <c r="C13" s="278">
        <f t="shared" si="1"/>
        <v>900</v>
      </c>
      <c r="D13" s="315">
        <f t="shared" si="0"/>
        <v>16.95687857806432</v>
      </c>
      <c r="F13" s="287"/>
      <c r="G13" s="287"/>
      <c r="H13" s="287"/>
      <c r="I13" s="287"/>
      <c r="J13" s="287"/>
      <c r="K13" s="287"/>
      <c r="L13" s="287"/>
      <c r="M13" s="287"/>
      <c r="N13" s="299" t="str">
        <f>"流量 "&amp;ROUND(C11,1)&amp;"LPM, 揚程 "&amp;ROUND(D11,2)&amp;"m"</f>
        <v>流量 1222.4LPM, 揚程 31.28m</v>
      </c>
      <c r="O13" s="287"/>
    </row>
    <row r="14" spans="1:15" ht="16.5" customHeight="1">
      <c r="A14" s="317">
        <v>6</v>
      </c>
      <c r="B14" s="308">
        <v>0.625</v>
      </c>
      <c r="C14" s="278">
        <f t="shared" si="1"/>
        <v>750</v>
      </c>
      <c r="D14" s="315">
        <f t="shared" si="0"/>
        <v>11.775610123655778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</row>
    <row r="15" spans="1:15" ht="16.5" customHeight="1">
      <c r="A15" s="317">
        <v>5</v>
      </c>
      <c r="B15" s="308">
        <v>0.5</v>
      </c>
      <c r="C15" s="278">
        <f t="shared" si="1"/>
        <v>600</v>
      </c>
      <c r="D15" s="315">
        <f t="shared" si="0"/>
        <v>7.5363904791396985</v>
      </c>
      <c r="F15" s="287"/>
      <c r="G15" s="287"/>
      <c r="H15" s="287"/>
      <c r="I15" s="287"/>
      <c r="J15" s="287"/>
      <c r="K15" s="287"/>
      <c r="L15" s="287"/>
      <c r="M15" s="287"/>
      <c r="N15" s="301" t="s">
        <v>251</v>
      </c>
      <c r="O15" s="287"/>
    </row>
    <row r="16" spans="1:15" ht="16.5" customHeight="1">
      <c r="A16" s="317">
        <v>4</v>
      </c>
      <c r="B16" s="308">
        <v>0.375</v>
      </c>
      <c r="C16" s="278">
        <f t="shared" si="1"/>
        <v>450</v>
      </c>
      <c r="D16" s="315">
        <f t="shared" si="0"/>
        <v>4.2392196445160799</v>
      </c>
      <c r="F16" s="287"/>
      <c r="G16" s="287"/>
      <c r="H16" s="287"/>
      <c r="I16" s="287"/>
      <c r="J16" s="287"/>
      <c r="K16" s="287"/>
      <c r="L16" s="287"/>
      <c r="M16" s="287"/>
      <c r="N16" s="299" t="str">
        <f>"流量 "&amp;ROUND(C10,1)&amp;"LPM, 揚程 "&amp;ROUND(D10,2)&amp;"m"</f>
        <v>流量 1200LPM, 揚程 30.15m</v>
      </c>
      <c r="O16" s="287"/>
    </row>
    <row r="17" spans="1:15" ht="16.5" customHeight="1">
      <c r="A17" s="317">
        <v>3</v>
      </c>
      <c r="B17" s="308">
        <v>0.25</v>
      </c>
      <c r="C17" s="278">
        <f t="shared" si="1"/>
        <v>300</v>
      </c>
      <c r="D17" s="315">
        <f t="shared" si="0"/>
        <v>1.8840976197849246</v>
      </c>
      <c r="F17" s="287"/>
      <c r="G17" s="287"/>
      <c r="H17" s="287"/>
      <c r="I17" s="287"/>
      <c r="J17" s="287"/>
      <c r="K17" s="287"/>
      <c r="L17" s="287"/>
      <c r="M17" s="287"/>
      <c r="N17" s="287"/>
      <c r="O17" s="287"/>
    </row>
    <row r="18" spans="1:15" ht="16.5" customHeight="1">
      <c r="A18" s="317">
        <v>2</v>
      </c>
      <c r="B18" s="308">
        <v>0.125</v>
      </c>
      <c r="C18" s="278">
        <f t="shared" si="1"/>
        <v>150</v>
      </c>
      <c r="D18" s="315">
        <f t="shared" si="0"/>
        <v>0.47102440494623116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</row>
    <row r="19" spans="1:15" ht="16.5" customHeight="1">
      <c r="A19" s="317">
        <v>1</v>
      </c>
      <c r="B19" s="308">
        <v>0</v>
      </c>
      <c r="C19" s="278">
        <f t="shared" si="1"/>
        <v>0</v>
      </c>
      <c r="D19" s="315">
        <f t="shared" si="0"/>
        <v>0</v>
      </c>
      <c r="F19" s="287"/>
      <c r="G19" s="287"/>
      <c r="H19" s="287"/>
      <c r="I19" s="287"/>
      <c r="J19" s="287"/>
      <c r="K19" s="287"/>
      <c r="L19" s="287"/>
      <c r="M19" s="287"/>
      <c r="N19" s="287"/>
      <c r="O19" s="287"/>
    </row>
    <row r="20" spans="1:15" ht="16.5" customHeight="1">
      <c r="A20" s="317"/>
      <c r="B20" s="308"/>
      <c r="D20" s="308"/>
      <c r="F20" s="287"/>
      <c r="G20" s="287"/>
      <c r="H20" s="287"/>
      <c r="I20" s="287"/>
      <c r="J20" s="287"/>
      <c r="K20" s="287"/>
      <c r="L20" s="287"/>
      <c r="M20" s="287"/>
      <c r="N20" s="287"/>
      <c r="O20" s="287"/>
    </row>
    <row r="21" spans="1:15" ht="16.5" customHeight="1">
      <c r="A21" s="309"/>
      <c r="B21" s="308"/>
      <c r="C21" s="315"/>
      <c r="D21" s="308"/>
    </row>
    <row r="22" spans="1:15" ht="16.5" customHeight="1">
      <c r="A22" s="309"/>
      <c r="B22" s="308"/>
      <c r="C22" s="315"/>
      <c r="D22" s="308"/>
    </row>
    <row r="23" spans="1:15" ht="16.5" customHeight="1">
      <c r="A23" s="309"/>
      <c r="B23" s="308"/>
      <c r="C23" s="315"/>
      <c r="D23" s="308"/>
    </row>
    <row r="24" spans="1:15" ht="16.5" customHeight="1">
      <c r="A24" s="309"/>
      <c r="B24" s="308"/>
      <c r="C24" s="315"/>
      <c r="D24" s="308"/>
    </row>
    <row r="25" spans="1:15" ht="16.5" customHeight="1">
      <c r="A25" s="309"/>
      <c r="B25" s="308"/>
      <c r="C25" s="315"/>
      <c r="D25" s="308"/>
    </row>
    <row r="26" spans="1:15" ht="16.5" customHeight="1">
      <c r="A26" s="309"/>
      <c r="B26" s="308"/>
      <c r="C26" s="315"/>
      <c r="D26" s="308"/>
    </row>
    <row r="27" spans="1:15" ht="16.5" customHeight="1">
      <c r="A27" s="309"/>
      <c r="B27" s="308"/>
      <c r="C27" s="315"/>
      <c r="D27" s="308"/>
    </row>
    <row r="28" spans="1:15" ht="16.5" customHeight="1">
      <c r="A28" s="309"/>
      <c r="B28" s="308"/>
      <c r="C28" s="315"/>
      <c r="D28" s="308"/>
    </row>
    <row r="29" spans="1:15" ht="16.5" customHeight="1">
      <c r="A29" s="309"/>
      <c r="B29" s="308"/>
      <c r="C29" s="315"/>
      <c r="D29" s="308"/>
    </row>
    <row r="30" spans="1:15" ht="16.5" customHeight="1">
      <c r="A30" s="309"/>
      <c r="B30" s="308"/>
      <c r="C30" s="315"/>
      <c r="D30" s="308"/>
    </row>
    <row r="31" spans="1:15" ht="16.5" customHeight="1">
      <c r="A31" s="309"/>
      <c r="B31" s="308"/>
      <c r="C31" s="315"/>
      <c r="D31" s="308"/>
    </row>
    <row r="32" spans="1:15" ht="16.5" customHeight="1">
      <c r="A32" s="309"/>
      <c r="B32" s="308"/>
      <c r="C32" s="315"/>
      <c r="D32" s="308"/>
    </row>
    <row r="33" spans="1:4" ht="16.5" customHeight="1">
      <c r="A33" s="309"/>
      <c r="B33" s="308"/>
      <c r="C33" s="315"/>
      <c r="D33" s="308"/>
    </row>
    <row r="34" spans="1:4" ht="16.5" customHeight="1">
      <c r="A34" s="309"/>
      <c r="B34" s="308"/>
      <c r="C34" s="315"/>
      <c r="D34" s="308"/>
    </row>
    <row r="35" spans="1:4" ht="16.5" customHeight="1">
      <c r="A35" s="309"/>
      <c r="B35" s="308"/>
      <c r="C35" s="315"/>
      <c r="D35" s="308"/>
    </row>
    <row r="36" spans="1:4" ht="16.5" customHeight="1">
      <c r="A36" s="309"/>
      <c r="B36" s="308"/>
      <c r="C36" s="315"/>
      <c r="D36" s="308"/>
    </row>
    <row r="37" spans="1:4" ht="16.5" customHeight="1">
      <c r="A37" s="309"/>
      <c r="B37" s="308"/>
      <c r="C37" s="315"/>
      <c r="D37" s="308"/>
    </row>
    <row r="38" spans="1:4" ht="16.5" customHeight="1">
      <c r="A38" s="309"/>
      <c r="B38" s="308"/>
      <c r="C38" s="315"/>
      <c r="D38" s="308"/>
    </row>
    <row r="39" spans="1:4" ht="16.5" customHeight="1">
      <c r="A39" s="309"/>
      <c r="B39" s="308"/>
      <c r="C39" s="315"/>
      <c r="D39" s="308"/>
    </row>
    <row r="40" spans="1:4" ht="16.5" customHeight="1">
      <c r="A40" s="309"/>
      <c r="B40" s="308"/>
      <c r="C40" s="315"/>
      <c r="D40" s="308"/>
    </row>
    <row r="41" spans="1:4" ht="16.5" customHeight="1">
      <c r="A41" s="309"/>
      <c r="B41" s="308"/>
      <c r="C41" s="315"/>
      <c r="D41" s="308"/>
    </row>
    <row r="42" spans="1:4" ht="16.5" customHeight="1">
      <c r="A42" s="309"/>
      <c r="B42" s="308"/>
      <c r="C42" s="315"/>
      <c r="D42" s="308"/>
    </row>
    <row r="43" spans="1:4" ht="16.5" customHeight="1">
      <c r="A43" s="309"/>
      <c r="B43" s="308"/>
      <c r="C43" s="315"/>
      <c r="D43" s="308"/>
    </row>
    <row r="44" spans="1:4" ht="16.5" customHeight="1">
      <c r="A44" s="309"/>
      <c r="B44" s="308"/>
      <c r="C44" s="315"/>
      <c r="D44" s="308"/>
    </row>
    <row r="45" spans="1:4" ht="16.5" customHeight="1">
      <c r="A45" s="309"/>
      <c r="B45" s="308"/>
      <c r="C45" s="315"/>
      <c r="D45" s="308"/>
    </row>
    <row r="46" spans="1:4" ht="16.5" customHeight="1">
      <c r="A46" s="309"/>
      <c r="B46" s="308"/>
      <c r="C46" s="315"/>
      <c r="D46" s="308"/>
    </row>
    <row r="47" spans="1:4" ht="16.5" customHeight="1">
      <c r="A47" s="309"/>
      <c r="B47" s="308"/>
      <c r="C47" s="315"/>
      <c r="D47" s="308"/>
    </row>
    <row r="48" spans="1:4" ht="16.5" customHeight="1">
      <c r="A48" s="309"/>
      <c r="B48" s="308"/>
      <c r="C48" s="315"/>
      <c r="D48" s="308"/>
    </row>
    <row r="49" spans="1:4" ht="16.5" customHeight="1">
      <c r="A49" s="309"/>
      <c r="B49" s="308"/>
      <c r="C49" s="315"/>
      <c r="D49" s="308"/>
    </row>
    <row r="50" spans="1:4" ht="16.5" customHeight="1">
      <c r="A50" s="309"/>
      <c r="B50" s="308"/>
      <c r="C50" s="315"/>
      <c r="D50" s="308"/>
    </row>
    <row r="51" spans="1:4" ht="16.5" customHeight="1">
      <c r="A51" s="309"/>
      <c r="B51" s="308"/>
      <c r="C51" s="315"/>
      <c r="D51" s="308"/>
    </row>
    <row r="52" spans="1:4" ht="16.5" customHeight="1">
      <c r="A52" s="309"/>
      <c r="B52" s="308"/>
      <c r="C52" s="315"/>
      <c r="D52" s="308"/>
    </row>
    <row r="53" spans="1:4" ht="16.5" customHeight="1">
      <c r="A53" s="309"/>
      <c r="B53" s="308"/>
      <c r="C53" s="315"/>
      <c r="D53" s="308"/>
    </row>
    <row r="54" spans="1:4" ht="16.5" customHeight="1">
      <c r="A54" s="309"/>
      <c r="B54" s="308"/>
      <c r="C54" s="315"/>
      <c r="D54" s="308"/>
    </row>
    <row r="55" spans="1:4" ht="16.5" customHeight="1">
      <c r="A55" s="309"/>
      <c r="B55" s="308"/>
      <c r="C55" s="315"/>
      <c r="D55" s="308"/>
    </row>
    <row r="56" spans="1:4" ht="16.5" customHeight="1">
      <c r="A56" s="309"/>
      <c r="B56" s="308"/>
      <c r="C56" s="315"/>
      <c r="D56" s="308"/>
    </row>
    <row r="57" spans="1:4" ht="16.5" customHeight="1">
      <c r="A57" s="309"/>
      <c r="B57" s="308"/>
      <c r="C57" s="315"/>
      <c r="D57" s="308"/>
    </row>
    <row r="58" spans="1:4" ht="16.5" customHeight="1">
      <c r="A58" s="309"/>
      <c r="B58" s="308"/>
      <c r="C58" s="315"/>
      <c r="D58" s="308"/>
    </row>
    <row r="59" spans="1:4" ht="16.5" customHeight="1">
      <c r="A59" s="309"/>
      <c r="B59" s="308"/>
      <c r="C59" s="315"/>
      <c r="D59" s="308"/>
    </row>
    <row r="60" spans="1:4" ht="16.5" customHeight="1">
      <c r="A60" s="309"/>
      <c r="B60" s="308"/>
      <c r="C60" s="315"/>
      <c r="D60" s="308"/>
    </row>
    <row r="61" spans="1:4" ht="16.5" customHeight="1">
      <c r="A61" s="309"/>
      <c r="B61" s="308"/>
      <c r="C61" s="315"/>
      <c r="D61" s="308"/>
    </row>
    <row r="62" spans="1:4" ht="16.5" customHeight="1">
      <c r="A62" s="309"/>
      <c r="B62" s="308"/>
      <c r="C62" s="315"/>
      <c r="D62" s="308"/>
    </row>
    <row r="63" spans="1:4" ht="16.5" customHeight="1">
      <c r="A63" s="309"/>
      <c r="B63" s="308"/>
      <c r="C63" s="315"/>
      <c r="D63" s="308"/>
    </row>
    <row r="64" spans="1:4" ht="16.5" customHeight="1">
      <c r="A64" s="309"/>
      <c r="B64" s="308"/>
      <c r="C64" s="315"/>
      <c r="D64" s="308"/>
    </row>
    <row r="65" spans="1:4" ht="16.5" customHeight="1">
      <c r="A65" s="309"/>
      <c r="B65" s="308"/>
      <c r="C65" s="315"/>
      <c r="D65" s="308"/>
    </row>
    <row r="66" spans="1:4" ht="16.5" customHeight="1">
      <c r="A66" s="309"/>
      <c r="B66" s="308"/>
      <c r="C66" s="315"/>
      <c r="D66" s="308"/>
    </row>
    <row r="67" spans="1:4" ht="16.5" customHeight="1">
      <c r="A67" s="309"/>
      <c r="B67" s="308"/>
      <c r="C67" s="315"/>
      <c r="D67" s="308"/>
    </row>
    <row r="68" spans="1:4" ht="16.5" customHeight="1">
      <c r="A68" s="309"/>
      <c r="B68" s="308"/>
      <c r="C68" s="315"/>
      <c r="D68" s="308"/>
    </row>
    <row r="69" spans="1:4" ht="16.5" customHeight="1">
      <c r="A69" s="309"/>
      <c r="B69" s="308"/>
      <c r="C69" s="315"/>
      <c r="D69" s="308"/>
    </row>
    <row r="70" spans="1:4" ht="16.5" customHeight="1">
      <c r="A70" s="309"/>
      <c r="B70" s="308"/>
      <c r="C70" s="315"/>
      <c r="D70" s="308"/>
    </row>
    <row r="71" spans="1:4" ht="16.5" customHeight="1">
      <c r="A71" s="309"/>
      <c r="B71" s="308"/>
      <c r="C71" s="315"/>
      <c r="D71" s="308"/>
    </row>
    <row r="72" spans="1:4" ht="16.5" customHeight="1">
      <c r="A72" s="309"/>
      <c r="B72" s="308"/>
      <c r="C72" s="315"/>
      <c r="D72" s="308"/>
    </row>
    <row r="73" spans="1:4" ht="16.5" customHeight="1">
      <c r="A73" s="309"/>
      <c r="B73" s="308"/>
      <c r="C73" s="315"/>
      <c r="D73" s="308"/>
    </row>
    <row r="74" spans="1:4" ht="16.5" customHeight="1">
      <c r="A74" s="309"/>
      <c r="B74" s="308"/>
      <c r="C74" s="315"/>
      <c r="D74" s="308"/>
    </row>
    <row r="75" spans="1:4" ht="16.5" customHeight="1">
      <c r="A75" s="309"/>
      <c r="B75" s="308"/>
      <c r="C75" s="315"/>
      <c r="D75" s="308"/>
    </row>
    <row r="76" spans="1:4" ht="16.5" customHeight="1">
      <c r="A76" s="309"/>
      <c r="B76" s="308"/>
      <c r="C76" s="315"/>
      <c r="D76" s="308"/>
    </row>
    <row r="77" spans="1:4" ht="16.5" customHeight="1">
      <c r="A77" s="309"/>
      <c r="B77" s="308"/>
      <c r="C77" s="315"/>
      <c r="D77" s="308"/>
    </row>
    <row r="78" spans="1:4" ht="16.5" customHeight="1">
      <c r="A78" s="309"/>
      <c r="B78" s="308"/>
      <c r="C78" s="315"/>
      <c r="D78" s="308"/>
    </row>
    <row r="79" spans="1:4" ht="16.5" customHeight="1">
      <c r="A79" s="309"/>
      <c r="B79" s="308"/>
      <c r="C79" s="315"/>
      <c r="D79" s="308"/>
    </row>
    <row r="80" spans="1:4" ht="16.5" customHeight="1">
      <c r="A80" s="309"/>
      <c r="B80" s="308"/>
      <c r="C80" s="315"/>
      <c r="D80" s="308"/>
    </row>
    <row r="81" spans="1:4" ht="16.5" customHeight="1">
      <c r="A81" s="309"/>
      <c r="B81" s="308"/>
      <c r="C81" s="315"/>
      <c r="D81" s="308"/>
    </row>
    <row r="82" spans="1:4" ht="16.5" customHeight="1">
      <c r="A82" s="309"/>
      <c r="B82" s="308"/>
      <c r="C82" s="315"/>
      <c r="D82" s="308"/>
    </row>
    <row r="83" spans="1:4" ht="16.5" customHeight="1">
      <c r="A83" s="309"/>
      <c r="B83" s="308"/>
      <c r="C83" s="315"/>
      <c r="D83" s="308"/>
    </row>
    <row r="84" spans="1:4" ht="16.5" customHeight="1">
      <c r="A84" s="309"/>
      <c r="B84" s="308"/>
      <c r="C84" s="315"/>
      <c r="D84" s="308"/>
    </row>
    <row r="85" spans="1:4" ht="16.5" customHeight="1">
      <c r="A85" s="309"/>
      <c r="B85" s="308"/>
      <c r="C85" s="315"/>
      <c r="D85" s="308"/>
    </row>
    <row r="86" spans="1:4" ht="16.5" customHeight="1">
      <c r="A86" s="309"/>
      <c r="B86" s="308"/>
      <c r="C86" s="315"/>
      <c r="D86" s="308"/>
    </row>
    <row r="87" spans="1:4" ht="16.5" customHeight="1">
      <c r="A87" s="309"/>
      <c r="B87" s="308"/>
      <c r="C87" s="315"/>
      <c r="D87" s="308"/>
    </row>
    <row r="88" spans="1:4" ht="16.5" customHeight="1">
      <c r="A88" s="309"/>
      <c r="B88" s="308"/>
      <c r="C88" s="315"/>
      <c r="D88" s="308"/>
    </row>
    <row r="89" spans="1:4" ht="16.5" customHeight="1">
      <c r="A89" s="309"/>
      <c r="B89" s="308"/>
      <c r="C89" s="315"/>
      <c r="D89" s="308"/>
    </row>
    <row r="90" spans="1:4" ht="16.5" customHeight="1">
      <c r="A90" s="309"/>
      <c r="B90" s="308"/>
      <c r="C90" s="315"/>
      <c r="D90" s="308"/>
    </row>
    <row r="91" spans="1:4" ht="16.5" customHeight="1">
      <c r="A91" s="309"/>
      <c r="B91" s="308"/>
      <c r="C91" s="315"/>
      <c r="D91" s="308"/>
    </row>
    <row r="92" spans="1:4" ht="16.5" customHeight="1">
      <c r="A92" s="309"/>
      <c r="B92" s="308"/>
      <c r="C92" s="315"/>
      <c r="D92" s="308"/>
    </row>
    <row r="93" spans="1:4" ht="16.5" customHeight="1">
      <c r="A93" s="309"/>
      <c r="B93" s="308"/>
      <c r="C93" s="315"/>
      <c r="D93" s="308"/>
    </row>
    <row r="94" spans="1:4" ht="16.5" customHeight="1">
      <c r="A94" s="309"/>
      <c r="B94" s="308"/>
      <c r="C94" s="315"/>
      <c r="D94" s="308"/>
    </row>
    <row r="95" spans="1:4" ht="16.5" customHeight="1">
      <c r="A95" s="309"/>
      <c r="B95" s="308"/>
      <c r="C95" s="315"/>
      <c r="D95" s="308"/>
    </row>
    <row r="96" spans="1:4" ht="16.5" customHeight="1">
      <c r="A96" s="309"/>
      <c r="B96" s="308"/>
      <c r="C96" s="315"/>
      <c r="D96" s="308"/>
    </row>
    <row r="97" spans="1:4" ht="16.5" customHeight="1">
      <c r="A97" s="309"/>
      <c r="B97" s="308"/>
      <c r="C97" s="315"/>
      <c r="D97" s="308"/>
    </row>
    <row r="98" spans="1:4" ht="16.5" customHeight="1">
      <c r="A98" s="309"/>
      <c r="B98" s="308"/>
      <c r="C98" s="315"/>
      <c r="D98" s="308"/>
    </row>
    <row r="99" spans="1:4" ht="16.5" customHeight="1">
      <c r="A99" s="309"/>
      <c r="B99" s="308"/>
      <c r="C99" s="315"/>
      <c r="D99" s="308"/>
    </row>
    <row r="100" spans="1:4" ht="16.5" customHeight="1">
      <c r="A100" s="309"/>
      <c r="B100" s="308"/>
      <c r="C100" s="315"/>
      <c r="D100" s="308"/>
    </row>
  </sheetData>
  <sheetProtection selectLockedCells="1"/>
  <phoneticPr fontId="21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1.1-基本資料與量測資料</vt:lpstr>
      <vt:lpstr>1.2-系統量測數據計算</vt:lpstr>
      <vt:lpstr>2-現況修正回溫差5℃</vt:lpstr>
      <vt:lpstr>3-修回溫差5℃+功率100%</vt:lpstr>
      <vt:lpstr>4-更新冰機+泵浦+舊管路</vt:lpstr>
      <vt:lpstr>5-全新系統</vt:lpstr>
      <vt:lpstr>6-IPLV-全新系統</vt:lpstr>
      <vt:lpstr>冰水阻抗曲線圖 (2)</vt:lpstr>
      <vt:lpstr>冰水阻抗曲線圖</vt:lpstr>
      <vt:lpstr>冷卻水阻抗曲線圖(2)</vt:lpstr>
      <vt:lpstr>冷卻水阻抗曲線圖</vt:lpstr>
      <vt:lpstr>冰機測試報告</vt:lpstr>
      <vt:lpstr>冰水泵耗電比測試報告</vt:lpstr>
      <vt:lpstr>冷卻水泵耗電比測試報告</vt:lpstr>
      <vt:lpstr>馬達效率查詢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簡淑燕</cp:lastModifiedBy>
  <cp:lastPrinted>2021-09-09T11:33:41Z</cp:lastPrinted>
  <dcterms:created xsi:type="dcterms:W3CDTF">2021-09-06T03:13:59Z</dcterms:created>
  <dcterms:modified xsi:type="dcterms:W3CDTF">2024-05-29T09:41:26Z</dcterms:modified>
</cp:coreProperties>
</file>